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" windowWidth="12240" windowHeight="92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59" i="1" l="1"/>
  <c r="K62" i="1"/>
  <c r="K63" i="1"/>
  <c r="K61" i="1"/>
  <c r="H63" i="1"/>
  <c r="H62" i="1"/>
  <c r="M56" i="1"/>
  <c r="L59" i="1"/>
  <c r="F59" i="1"/>
  <c r="E59" i="1"/>
  <c r="D8" i="1"/>
  <c r="B5" i="1"/>
  <c r="D6" i="1" s="1"/>
  <c r="C9" i="1"/>
  <c r="C10" i="1"/>
  <c r="C8" i="1"/>
  <c r="B11" i="1"/>
  <c r="B12" i="1" s="1"/>
  <c r="B13" i="1" s="1"/>
  <c r="E6" i="1"/>
  <c r="J27" i="1"/>
  <c r="D58" i="1" s="1"/>
  <c r="C6" i="1" l="1"/>
  <c r="B24" i="1"/>
  <c r="D60" i="1" l="1"/>
  <c r="C52" i="1"/>
  <c r="C53" i="1"/>
  <c r="C54" i="1"/>
  <c r="C55" i="1"/>
  <c r="C56" i="1"/>
  <c r="C51" i="1"/>
  <c r="D59" i="1"/>
  <c r="D57" i="1"/>
  <c r="I30" i="1"/>
  <c r="B30" i="1"/>
  <c r="I26" i="1"/>
  <c r="J34" i="1" s="1"/>
  <c r="K58" i="1"/>
  <c r="I56" i="1"/>
  <c r="I59" i="1" s="1"/>
  <c r="H59" i="1"/>
  <c r="K59" i="1" l="1"/>
  <c r="J58" i="1"/>
  <c r="I29" i="1"/>
  <c r="J36" i="1" s="1"/>
  <c r="B42" i="1"/>
  <c r="K64" i="1" l="1"/>
  <c r="H64" i="1"/>
  <c r="J59" i="1"/>
  <c r="N61" i="1" s="1"/>
  <c r="D42" i="1"/>
  <c r="B39" i="1"/>
  <c r="B45" i="1" s="1"/>
  <c r="D30" i="1"/>
  <c r="D21" i="1"/>
  <c r="D23" i="1"/>
  <c r="D45" i="1" l="1"/>
  <c r="C45" i="1"/>
  <c r="D39" i="1"/>
  <c r="F11" i="1"/>
  <c r="G11" i="1" s="1"/>
  <c r="J11" i="1" l="1"/>
  <c r="N11" i="1"/>
  <c r="L11" i="1"/>
  <c r="H11" i="1"/>
  <c r="I34" i="1"/>
  <c r="I35" i="1"/>
  <c r="I36" i="1"/>
  <c r="D22" i="1"/>
  <c r="D17" i="1"/>
  <c r="D18" i="1"/>
  <c r="D19" i="1"/>
  <c r="D20" i="1"/>
  <c r="D16" i="1"/>
  <c r="D24" i="1" s="1"/>
  <c r="D10" i="1"/>
  <c r="D9" i="1"/>
  <c r="M34" i="1" l="1"/>
  <c r="M35" i="1"/>
  <c r="M36" i="1"/>
  <c r="D11" i="1"/>
  <c r="I37" i="1"/>
  <c r="L4" i="1"/>
  <c r="L5" i="1"/>
  <c r="L6" i="1"/>
  <c r="L3" i="1"/>
  <c r="M37" i="1" l="1"/>
  <c r="B25" i="1" l="1"/>
  <c r="B31" i="1" s="1"/>
  <c r="D12" i="1"/>
  <c r="D14" i="1" l="1"/>
  <c r="C61" i="1"/>
  <c r="C62" i="1" s="1"/>
  <c r="B27" i="1"/>
  <c r="B26" i="1"/>
  <c r="D40" i="1"/>
  <c r="D25" i="1"/>
  <c r="D43" i="1"/>
  <c r="D44" i="1"/>
  <c r="D13" i="1"/>
  <c r="F19" i="1"/>
  <c r="G19" i="1" s="1"/>
  <c r="D26" i="1"/>
  <c r="G38" i="1"/>
  <c r="E3" i="1"/>
  <c r="D27" i="1" l="1"/>
  <c r="F20" i="1"/>
  <c r="L19" i="1"/>
  <c r="N19" i="1"/>
  <c r="O19" i="1" s="1"/>
  <c r="B34" i="1"/>
  <c r="B33" i="1"/>
  <c r="B32" i="1"/>
  <c r="C30" i="1"/>
  <c r="D31" i="1"/>
  <c r="D33" i="1" s="1"/>
  <c r="E26" i="1"/>
  <c r="D41" i="1"/>
  <c r="I42" i="1"/>
  <c r="C21" i="1"/>
  <c r="D28" i="1"/>
  <c r="L36" i="1"/>
  <c r="L34" i="1"/>
  <c r="L35" i="1"/>
  <c r="L37" i="1"/>
  <c r="C22" i="1"/>
  <c r="C23" i="1"/>
  <c r="H36" i="1"/>
  <c r="J19" i="1"/>
  <c r="K19" i="1" s="1"/>
  <c r="H19" i="1"/>
  <c r="I19" i="1" s="1"/>
  <c r="M19" i="1"/>
  <c r="G20" i="1"/>
  <c r="C16" i="1"/>
  <c r="C17" i="1"/>
  <c r="C18" i="1"/>
  <c r="C19" i="1"/>
  <c r="C20" i="1"/>
  <c r="H34" i="1"/>
  <c r="H35" i="1"/>
  <c r="L20" i="1" l="1"/>
  <c r="N20" i="1"/>
  <c r="O20" i="1" s="1"/>
  <c r="E32" i="1"/>
  <c r="D34" i="1"/>
  <c r="C24" i="1"/>
  <c r="E31" i="1"/>
  <c r="I43" i="1"/>
  <c r="I44" i="1"/>
  <c r="K44" i="1" s="1"/>
  <c r="F21" i="1"/>
  <c r="G21" i="1" s="1"/>
  <c r="D32" i="1"/>
  <c r="D35" i="1"/>
  <c r="K42" i="1"/>
  <c r="H20" i="1"/>
  <c r="I20" i="1" s="1"/>
  <c r="M20" i="1"/>
  <c r="J20" i="1"/>
  <c r="K20" i="1" s="1"/>
  <c r="H37" i="1"/>
  <c r="C11" i="1"/>
  <c r="J21" i="1" l="1"/>
  <c r="L21" i="1"/>
  <c r="N21" i="1"/>
  <c r="O21" i="1" s="1"/>
  <c r="C12" i="1"/>
  <c r="C13" i="1" s="1"/>
  <c r="C14" i="1"/>
  <c r="J42" i="1"/>
  <c r="J43" i="1" s="1"/>
  <c r="J44" i="1" s="1"/>
  <c r="K43" i="1"/>
  <c r="M21" i="1"/>
  <c r="K21" i="1"/>
  <c r="H21" i="1"/>
  <c r="I21" i="1" s="1"/>
  <c r="C25" i="1" l="1"/>
  <c r="G42" i="1" s="1"/>
  <c r="G44" i="1" s="1"/>
  <c r="F12" i="1"/>
  <c r="G12" i="1" s="1"/>
  <c r="C26" i="1" l="1"/>
  <c r="C31" i="1"/>
  <c r="F14" i="1" s="1"/>
  <c r="N12" i="1"/>
  <c r="O12" i="1" s="1"/>
  <c r="L12" i="1"/>
  <c r="M12" i="1" s="1"/>
  <c r="C28" i="1"/>
  <c r="C33" i="1"/>
  <c r="C32" i="1"/>
  <c r="G43" i="1"/>
  <c r="H42" i="1"/>
  <c r="H43" i="1" s="1"/>
  <c r="H44" i="1" s="1"/>
  <c r="C27" i="1"/>
  <c r="F13" i="1"/>
  <c r="K36" i="1"/>
  <c r="K35" i="1"/>
  <c r="K34" i="1"/>
  <c r="K37" i="1"/>
  <c r="G13" i="1"/>
  <c r="H12" i="1"/>
  <c r="I12" i="1" s="1"/>
  <c r="J12" i="1"/>
  <c r="K12" i="1" s="1"/>
  <c r="J13" i="1" l="1"/>
  <c r="K13" i="1" s="1"/>
  <c r="N13" i="1"/>
  <c r="O13" i="1" s="1"/>
  <c r="L13" i="1"/>
  <c r="M13" i="1" s="1"/>
  <c r="C35" i="1"/>
  <c r="C34" i="1"/>
  <c r="H13" i="1"/>
  <c r="I13" i="1" s="1"/>
  <c r="G14" i="1" l="1"/>
  <c r="N14" i="1" l="1"/>
  <c r="O14" i="1" s="1"/>
  <c r="L14" i="1"/>
  <c r="M14" i="1"/>
  <c r="J14" i="1"/>
  <c r="K14" i="1" s="1"/>
  <c r="H14" i="1"/>
  <c r="I14" i="1" s="1"/>
</calcChain>
</file>

<file path=xl/sharedStrings.xml><?xml version="1.0" encoding="utf-8"?>
<sst xmlns="http://schemas.openxmlformats.org/spreadsheetml/2006/main" count="213" uniqueCount="140">
  <si>
    <t xml:space="preserve">Great Faringdon </t>
  </si>
  <si>
    <t>Population 2001 census</t>
  </si>
  <si>
    <t>Population 2011 census</t>
  </si>
  <si>
    <t>male</t>
  </si>
  <si>
    <t>dwellings</t>
  </si>
  <si>
    <t>female</t>
  </si>
  <si>
    <t>pop per dwelling on 2011 figures</t>
  </si>
  <si>
    <t>Houses built and occupied since 2011</t>
  </si>
  <si>
    <t>Folly Park View</t>
  </si>
  <si>
    <t xml:space="preserve">Total </t>
  </si>
  <si>
    <t>0-4</t>
  </si>
  <si>
    <t>5-17</t>
  </si>
  <si>
    <t>18-64</t>
  </si>
  <si>
    <t>65-90</t>
  </si>
  <si>
    <t>Total</t>
  </si>
  <si>
    <t>age distribution</t>
  </si>
  <si>
    <t>increase</t>
  </si>
  <si>
    <t>Est. others built since 2009 and occupied post 2011</t>
  </si>
  <si>
    <t>Est. increase in current pop. over 2011 census figure</t>
  </si>
  <si>
    <t>houses</t>
  </si>
  <si>
    <t>Highworth Rd. (Drivewalk)</t>
  </si>
  <si>
    <t>Fernham Fields (SGR)</t>
  </si>
  <si>
    <t>Steeds Farm (Welbeck)</t>
  </si>
  <si>
    <t>ages</t>
  </si>
  <si>
    <t>Population increase since 2001 census</t>
  </si>
  <si>
    <t>Increase in dwellings/population since 2011</t>
  </si>
  <si>
    <t>Est. dwellings/population increase for these developments</t>
  </si>
  <si>
    <t>18-64 pop</t>
  </si>
  <si>
    <t>Total estimated</t>
  </si>
  <si>
    <t xml:space="preserve"> @61.2%</t>
  </si>
  <si>
    <t>for factor k 27%</t>
  </si>
  <si>
    <t>Faringdon jobs req</t>
  </si>
  <si>
    <t>for factor k 38%</t>
  </si>
  <si>
    <t>for factor k 44%</t>
  </si>
  <si>
    <t>pop. increase 2011-2001</t>
  </si>
  <si>
    <t>change</t>
  </si>
  <si>
    <t>Winslow House affordable</t>
  </si>
  <si>
    <t>Planned' increase over 2001 census figure</t>
  </si>
  <si>
    <t>population (lower limit)</t>
  </si>
  <si>
    <t>population (upper limit)</t>
  </si>
  <si>
    <t>Fernham Fields</t>
  </si>
  <si>
    <t>P13/V1653/O</t>
  </si>
  <si>
    <t>P13/V0139/O</t>
  </si>
  <si>
    <t>P13/V1102/O</t>
  </si>
  <si>
    <t>census figure</t>
  </si>
  <si>
    <t>over 2011</t>
  </si>
  <si>
    <t>further increase in population over:</t>
  </si>
  <si>
    <t>planned' figures</t>
  </si>
  <si>
    <t>2011 census</t>
  </si>
  <si>
    <t>pop@2.55/</t>
  </si>
  <si>
    <t xml:space="preserve"> pop@2.55</t>
  </si>
  <si>
    <t xml:space="preserve">Permissions granted, in pipeline, or not yet fully occupied </t>
  </si>
  <si>
    <t>Steeds + Highworth Rd Highden Farm (Drivewalk)</t>
  </si>
  <si>
    <t>Current dwellings/population estimate at end of 2013</t>
  </si>
  <si>
    <t>Steeds Farm 150</t>
  </si>
  <si>
    <t>Total on 2013 estimate without additional housing; e.g. Winslow etc.</t>
  </si>
  <si>
    <t>Steeds revised to 200</t>
  </si>
  <si>
    <t>was 150</t>
  </si>
  <si>
    <t>Steeds 200 houses</t>
  </si>
  <si>
    <t>OCC S106 occupancy rate figures</t>
  </si>
  <si>
    <t>est.</t>
  </si>
  <si>
    <t>at 2.55</t>
  </si>
  <si>
    <t>increase since 2011</t>
  </si>
  <si>
    <t>224 @20+</t>
  </si>
  <si>
    <t>34 @65+</t>
  </si>
  <si>
    <t>primary</t>
  </si>
  <si>
    <t>secondary</t>
  </si>
  <si>
    <t>SEN</t>
  </si>
  <si>
    <t>6th form</t>
  </si>
  <si>
    <t>new primary school</t>
  </si>
  <si>
    <t>lower cost per pupil</t>
  </si>
  <si>
    <t>per pupil</t>
  </si>
  <si>
    <t>Sandshill (Bloor)</t>
  </si>
  <si>
    <t>P06/V1939/O</t>
  </si>
  <si>
    <t>pupils</t>
  </si>
  <si>
    <t>Non strategic housing developments</t>
  </si>
  <si>
    <t>Highworth Rd. 126</t>
  </si>
  <si>
    <t>Highworth Rd. 200</t>
  </si>
  <si>
    <t>pro rata</t>
  </si>
  <si>
    <t>126 houses only</t>
  </si>
  <si>
    <t>Builders Ede Park Rd outline; could increase</t>
  </si>
  <si>
    <t>Fernham Fields outline permission</t>
  </si>
  <si>
    <t>OCC S106 requests for education</t>
  </si>
  <si>
    <t>Proposed further strategic housing by VoWHDC</t>
  </si>
  <si>
    <t>individual@</t>
  </si>
  <si>
    <t>cumulative@</t>
  </si>
  <si>
    <t>Highworth Rd. revised to 200</t>
  </si>
  <si>
    <t>was 126</t>
  </si>
  <si>
    <t>Dwellings/population total when these get built</t>
  </si>
  <si>
    <t>Granted' population total when these are built</t>
  </si>
  <si>
    <t>Impact of named estates on current (2013) population of 8,123</t>
  </si>
  <si>
    <t>Bloor Sandshill + Fernham Fields only</t>
  </si>
  <si>
    <t>Total on 8,123</t>
  </si>
  <si>
    <t>Haynes Close; built</t>
  </si>
  <si>
    <t>Tennis Club Southampton St; not started</t>
  </si>
  <si>
    <t>Tetronics 5 Lechlade Rd; not started</t>
  </si>
  <si>
    <t>Folly Park View2; under construction</t>
  </si>
  <si>
    <t>Winslow House; under construction</t>
  </si>
  <si>
    <t>Est. increase in current pop. over 2001 census figure</t>
  </si>
  <si>
    <t>actual</t>
  </si>
  <si>
    <t>increase since 2012</t>
  </si>
  <si>
    <t>Sandshill 380 houses</t>
  </si>
  <si>
    <t>Population estimate at end of 2013</t>
  </si>
  <si>
    <t>Estimate using OCC S106 request occupancy figures</t>
  </si>
  <si>
    <t>Bloor Homes2 Sandshill outline permission</t>
  </si>
  <si>
    <t xml:space="preserve"> @2.55</t>
  </si>
  <si>
    <t>OCC S106 figs</t>
  </si>
  <si>
    <t>P13/V0344/FUL</t>
  </si>
  <si>
    <t>P09/V0913</t>
  </si>
  <si>
    <t>P07/V1772/</t>
  </si>
  <si>
    <t>Winslow House; under construction also P10/V0019/</t>
  </si>
  <si>
    <t>Increase over 2013</t>
  </si>
  <si>
    <t>This represents an increase over 2013 figures of:</t>
  </si>
  <si>
    <t>This represents an increase over 2011 census figures of:</t>
  </si>
  <si>
    <t>Planned' increase over 2011 census figures</t>
  </si>
  <si>
    <t>Or, a further increase over 'granted' figure of:</t>
  </si>
  <si>
    <t>Occupied dwellings 2011 census</t>
  </si>
  <si>
    <t xml:space="preserve"> pop@2.36/</t>
  </si>
  <si>
    <t>at 2.36</t>
  </si>
  <si>
    <t xml:space="preserve"> pop@2.36</t>
  </si>
  <si>
    <t>for factor k 39%</t>
  </si>
  <si>
    <t>150 houses only; will increase</t>
  </si>
  <si>
    <t>2015/16 number for tax base</t>
  </si>
  <si>
    <t>dwellings growth since 2011</t>
  </si>
  <si>
    <t>Builders Ede Park Rd built; could increase</t>
  </si>
  <si>
    <t>Total dwellings planned but not built/occupied; as of April 2015</t>
  </si>
  <si>
    <t xml:space="preserve">Based on Fernham Fields: No. of pupils per house = </t>
  </si>
  <si>
    <t xml:space="preserve">Based on Steeds: No. of pupils per house = </t>
  </si>
  <si>
    <t xml:space="preserve">Based on Sandshill; No. of pupils per house = </t>
  </si>
  <si>
    <t>ratio primary/secondary</t>
  </si>
  <si>
    <t>estimate</t>
  </si>
  <si>
    <t>per house</t>
  </si>
  <si>
    <t>of school age</t>
  </si>
  <si>
    <t>P13/V2301/O</t>
  </si>
  <si>
    <t>P14/V1751/FUL</t>
  </si>
  <si>
    <t>P13/V0709/O</t>
  </si>
  <si>
    <t>P08/V2338/</t>
  </si>
  <si>
    <t>P13/V0033/FUL</t>
  </si>
  <si>
    <t>population estimates</t>
  </si>
  <si>
    <t xml:space="preserve"> OCC S106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</si>
</sst>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£&quot;#,##0;[Red]\-&quot;£&quot;#,##0"/>
    <numFmt numFmtId="164" formatCode="0.0%"/>
    <numFmt numFmtId="165" formatCode="0.0"/>
    <numFmt numFmtId="166" formatCode="0.0000"/>
    <numFmt numFmtId="167" formatCode="&quot;£&quot;#,##0"/>
    <numFmt numFmtId="168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u/>
      <sz val="9.9"/>
      <color theme="10"/>
      <name val="Calibri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u/>
      <sz val="9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1" fontId="2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3" fontId="2" fillId="0" borderId="0" xfId="0" applyNumberFormat="1" applyFont="1" applyBorder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2" fontId="2" fillId="0" borderId="0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1" fontId="2" fillId="0" borderId="11" xfId="0" applyNumberFormat="1" applyFont="1" applyBorder="1" applyAlignment="1">
      <alignment vertical="top"/>
    </xf>
    <xf numFmtId="0" fontId="2" fillId="0" borderId="12" xfId="0" applyFont="1" applyBorder="1" applyAlignment="1">
      <alignment vertical="top"/>
    </xf>
    <xf numFmtId="1" fontId="2" fillId="0" borderId="12" xfId="0" applyNumberFormat="1" applyFont="1" applyBorder="1" applyAlignment="1">
      <alignment vertical="top"/>
    </xf>
    <xf numFmtId="0" fontId="2" fillId="0" borderId="16" xfId="0" applyFont="1" applyBorder="1" applyAlignment="1">
      <alignment horizontal="right" vertical="top"/>
    </xf>
    <xf numFmtId="0" fontId="2" fillId="0" borderId="1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14" xfId="0" applyFont="1" applyBorder="1" applyAlignment="1">
      <alignment horizontal="right"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1" fontId="2" fillId="0" borderId="13" xfId="0" applyNumberFormat="1" applyFont="1" applyBorder="1" applyAlignment="1">
      <alignment vertical="top"/>
    </xf>
    <xf numFmtId="3" fontId="2" fillId="0" borderId="14" xfId="0" applyNumberFormat="1" applyFont="1" applyBorder="1" applyAlignment="1">
      <alignment horizontal="right" vertical="top"/>
    </xf>
    <xf numFmtId="1" fontId="2" fillId="0" borderId="14" xfId="0" applyNumberFormat="1" applyFont="1" applyBorder="1" applyAlignment="1">
      <alignment vertical="top"/>
    </xf>
    <xf numFmtId="1" fontId="2" fillId="0" borderId="15" xfId="0" applyNumberFormat="1" applyFont="1" applyBorder="1" applyAlignment="1">
      <alignment vertical="top"/>
    </xf>
    <xf numFmtId="3" fontId="2" fillId="0" borderId="14" xfId="0" applyNumberFormat="1" applyFont="1" applyBorder="1" applyAlignment="1">
      <alignment vertical="top"/>
    </xf>
    <xf numFmtId="1" fontId="2" fillId="0" borderId="9" xfId="0" applyNumberFormat="1" applyFont="1" applyBorder="1" applyAlignment="1">
      <alignment vertical="top"/>
    </xf>
    <xf numFmtId="1" fontId="2" fillId="0" borderId="0" xfId="0" applyNumberFormat="1" applyFont="1" applyAlignment="1">
      <alignment vertical="top"/>
    </xf>
    <xf numFmtId="165" fontId="2" fillId="0" borderId="0" xfId="0" applyNumberFormat="1" applyFont="1" applyBorder="1" applyAlignment="1">
      <alignment vertical="top"/>
    </xf>
    <xf numFmtId="0" fontId="1" fillId="0" borderId="2" xfId="0" applyFont="1" applyBorder="1" applyAlignment="1">
      <alignment vertical="top"/>
    </xf>
    <xf numFmtId="10" fontId="2" fillId="0" borderId="0" xfId="0" applyNumberFormat="1" applyFont="1" applyBorder="1" applyAlignment="1">
      <alignment vertical="top"/>
    </xf>
    <xf numFmtId="164" fontId="2" fillId="0" borderId="18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1" fillId="0" borderId="17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2" fillId="0" borderId="20" xfId="0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6" fontId="2" fillId="0" borderId="0" xfId="0" applyNumberFormat="1" applyFont="1" applyBorder="1" applyAlignment="1">
      <alignment vertical="top"/>
    </xf>
    <xf numFmtId="1" fontId="3" fillId="0" borderId="12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164" fontId="1" fillId="0" borderId="12" xfId="0" applyNumberFormat="1" applyFont="1" applyBorder="1" applyAlignment="1">
      <alignment vertical="top"/>
    </xf>
    <xf numFmtId="164" fontId="4" fillId="0" borderId="12" xfId="0" applyNumberFormat="1" applyFont="1" applyBorder="1" applyAlignment="1">
      <alignment vertical="top"/>
    </xf>
    <xf numFmtId="10" fontId="2" fillId="0" borderId="15" xfId="0" applyNumberFormat="1" applyFont="1" applyBorder="1" applyAlignment="1">
      <alignment vertical="top"/>
    </xf>
    <xf numFmtId="0" fontId="2" fillId="0" borderId="21" xfId="0" applyFont="1" applyBorder="1" applyAlignment="1">
      <alignment vertical="top"/>
    </xf>
    <xf numFmtId="164" fontId="1" fillId="0" borderId="21" xfId="0" applyNumberFormat="1" applyFont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2" borderId="0" xfId="0" applyFont="1" applyFill="1" applyBorder="1" applyAlignment="1">
      <alignment vertical="top"/>
    </xf>
    <xf numFmtId="164" fontId="2" fillId="0" borderId="12" xfId="0" applyNumberFormat="1" applyFont="1" applyBorder="1" applyAlignment="1">
      <alignment vertical="top"/>
    </xf>
    <xf numFmtId="164" fontId="2" fillId="0" borderId="21" xfId="0" applyNumberFormat="1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1" fontId="2" fillId="0" borderId="21" xfId="0" applyNumberFormat="1" applyFont="1" applyBorder="1" applyAlignment="1">
      <alignment vertical="top"/>
    </xf>
    <xf numFmtId="1" fontId="4" fillId="0" borderId="21" xfId="0" applyNumberFormat="1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164" fontId="4" fillId="0" borderId="3" xfId="0" applyNumberFormat="1" applyFont="1" applyBorder="1" applyAlignment="1">
      <alignment vertical="top"/>
    </xf>
    <xf numFmtId="167" fontId="2" fillId="0" borderId="0" xfId="0" applyNumberFormat="1" applyFont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6" fontId="2" fillId="0" borderId="0" xfId="0" applyNumberFormat="1" applyFont="1" applyBorder="1" applyAlignment="1">
      <alignment vertical="top"/>
    </xf>
    <xf numFmtId="167" fontId="2" fillId="0" borderId="0" xfId="0" applyNumberFormat="1" applyFont="1" applyBorder="1" applyAlignment="1">
      <alignment vertical="top"/>
    </xf>
    <xf numFmtId="0" fontId="8" fillId="0" borderId="0" xfId="0" applyFont="1" applyBorder="1" applyAlignment="1">
      <alignment vertical="top"/>
    </xf>
    <xf numFmtId="6" fontId="1" fillId="0" borderId="0" xfId="0" applyNumberFormat="1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167" fontId="8" fillId="0" borderId="0" xfId="0" applyNumberFormat="1" applyFont="1" applyBorder="1" applyAlignment="1">
      <alignment vertical="top"/>
    </xf>
    <xf numFmtId="168" fontId="2" fillId="0" borderId="0" xfId="0" applyNumberFormat="1" applyFont="1" applyBorder="1" applyAlignment="1">
      <alignment vertical="top"/>
    </xf>
    <xf numFmtId="165" fontId="8" fillId="0" borderId="0" xfId="0" applyNumberFormat="1" applyFont="1" applyBorder="1" applyAlignment="1">
      <alignment vertical="top"/>
    </xf>
    <xf numFmtId="0" fontId="2" fillId="0" borderId="19" xfId="0" quotePrefix="1" applyFont="1" applyBorder="1" applyAlignment="1">
      <alignment horizontal="left" vertical="top"/>
    </xf>
    <xf numFmtId="0" fontId="2" fillId="0" borderId="22" xfId="0" applyFont="1" applyBorder="1" applyAlignment="1">
      <alignment vertical="top"/>
    </xf>
    <xf numFmtId="0" fontId="1" fillId="0" borderId="23" xfId="0" applyFont="1" applyBorder="1" applyAlignment="1">
      <alignment horizontal="right" vertical="top"/>
    </xf>
    <xf numFmtId="0" fontId="1" fillId="0" borderId="24" xfId="0" applyFont="1" applyBorder="1" applyAlignment="1">
      <alignment vertical="top"/>
    </xf>
    <xf numFmtId="0" fontId="1" fillId="0" borderId="24" xfId="0" applyFont="1" applyBorder="1" applyAlignment="1"/>
    <xf numFmtId="164" fontId="2" fillId="0" borderId="0" xfId="0" applyNumberFormat="1" applyFont="1" applyBorder="1" applyAlignment="1">
      <alignment vertical="top"/>
    </xf>
    <xf numFmtId="164" fontId="2" fillId="0" borderId="20" xfId="0" applyNumberFormat="1" applyFont="1" applyBorder="1" applyAlignment="1">
      <alignment vertical="top"/>
    </xf>
    <xf numFmtId="1" fontId="1" fillId="0" borderId="24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1" fontId="3" fillId="0" borderId="20" xfId="0" applyNumberFormat="1" applyFont="1" applyBorder="1" applyAlignment="1">
      <alignment vertical="top"/>
    </xf>
    <xf numFmtId="0" fontId="4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164" fontId="3" fillId="0" borderId="12" xfId="0" applyNumberFormat="1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3" fontId="2" fillId="0" borderId="18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3" fontId="2" fillId="0" borderId="17" xfId="0" applyNumberFormat="1" applyFont="1" applyBorder="1" applyAlignment="1">
      <alignment vertical="top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11" xfId="0" applyFont="1" applyBorder="1" applyAlignment="1">
      <alignment vertical="top"/>
    </xf>
    <xf numFmtId="164" fontId="1" fillId="0" borderId="11" xfId="0" applyNumberFormat="1" applyFont="1" applyBorder="1" applyAlignment="1">
      <alignment vertical="top"/>
    </xf>
    <xf numFmtId="0" fontId="2" fillId="0" borderId="0" xfId="0" quotePrefix="1" applyFont="1" applyBorder="1" applyAlignment="1">
      <alignment vertical="top"/>
    </xf>
    <xf numFmtId="3" fontId="2" fillId="0" borderId="10" xfId="0" applyNumberFormat="1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2" xfId="0" quotePrefix="1" applyFont="1" applyBorder="1" applyAlignment="1">
      <alignment vertical="top"/>
    </xf>
    <xf numFmtId="164" fontId="4" fillId="0" borderId="21" xfId="0" applyNumberFormat="1" applyFont="1" applyBorder="1" applyAlignment="1">
      <alignment vertical="top"/>
    </xf>
    <xf numFmtId="0" fontId="2" fillId="0" borderId="26" xfId="0" applyFont="1" applyBorder="1" applyAlignment="1">
      <alignment vertical="top"/>
    </xf>
    <xf numFmtId="164" fontId="2" fillId="0" borderId="27" xfId="0" applyNumberFormat="1" applyFont="1" applyBorder="1" applyAlignment="1">
      <alignment vertical="top"/>
    </xf>
    <xf numFmtId="0" fontId="2" fillId="0" borderId="28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1" fontId="1" fillId="0" borderId="10" xfId="0" applyNumberFormat="1" applyFont="1" applyBorder="1" applyAlignment="1">
      <alignment vertical="top"/>
    </xf>
    <xf numFmtId="3" fontId="1" fillId="3" borderId="25" xfId="0" applyNumberFormat="1" applyFont="1" applyFill="1" applyBorder="1" applyAlignment="1">
      <alignment vertical="top"/>
    </xf>
    <xf numFmtId="3" fontId="1" fillId="3" borderId="10" xfId="0" applyNumberFormat="1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3" fontId="1" fillId="0" borderId="25" xfId="0" applyNumberFormat="1" applyFont="1" applyFill="1" applyBorder="1" applyAlignment="1">
      <alignment vertical="top"/>
    </xf>
    <xf numFmtId="3" fontId="1" fillId="0" borderId="1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3" fontId="1" fillId="4" borderId="25" xfId="0" applyNumberFormat="1" applyFont="1" applyFill="1" applyBorder="1" applyAlignment="1">
      <alignment vertical="top"/>
    </xf>
    <xf numFmtId="3" fontId="1" fillId="4" borderId="10" xfId="0" applyNumberFormat="1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164" fontId="4" fillId="5" borderId="12" xfId="0" applyNumberFormat="1" applyFont="1" applyFill="1" applyBorder="1" applyAlignment="1">
      <alignment vertical="top"/>
    </xf>
    <xf numFmtId="164" fontId="1" fillId="5" borderId="6" xfId="0" applyNumberFormat="1" applyFont="1" applyFill="1" applyBorder="1" applyAlignment="1">
      <alignment vertical="top"/>
    </xf>
    <xf numFmtId="164" fontId="1" fillId="5" borderId="10" xfId="0" applyNumberFormat="1" applyFont="1" applyFill="1" applyBorder="1" applyAlignment="1">
      <alignment vertical="top"/>
    </xf>
    <xf numFmtId="0" fontId="1" fillId="0" borderId="19" xfId="0" applyFont="1" applyBorder="1" applyAlignment="1">
      <alignment vertical="top"/>
    </xf>
    <xf numFmtId="1" fontId="3" fillId="0" borderId="21" xfId="0" applyNumberFormat="1" applyFont="1" applyBorder="1" applyAlignment="1">
      <alignment vertical="top"/>
    </xf>
    <xf numFmtId="164" fontId="2" fillId="0" borderId="10" xfId="0" applyNumberFormat="1" applyFont="1" applyBorder="1" applyAlignment="1">
      <alignment vertical="top"/>
    </xf>
    <xf numFmtId="164" fontId="1" fillId="2" borderId="10" xfId="0" applyNumberFormat="1" applyFont="1" applyFill="1" applyBorder="1" applyAlignment="1">
      <alignment vertical="top"/>
    </xf>
    <xf numFmtId="164" fontId="4" fillId="2" borderId="21" xfId="0" applyNumberFormat="1" applyFont="1" applyFill="1" applyBorder="1" applyAlignment="1">
      <alignment vertical="top"/>
    </xf>
    <xf numFmtId="164" fontId="1" fillId="2" borderId="2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1" fillId="6" borderId="12" xfId="0" applyFont="1" applyFill="1" applyBorder="1" applyAlignment="1">
      <alignment vertical="top"/>
    </xf>
    <xf numFmtId="0" fontId="1" fillId="6" borderId="21" xfId="0" applyFont="1" applyFill="1" applyBorder="1" applyAlignment="1">
      <alignment vertical="top"/>
    </xf>
    <xf numFmtId="1" fontId="6" fillId="6" borderId="12" xfId="0" applyNumberFormat="1" applyFont="1" applyFill="1" applyBorder="1" applyAlignment="1">
      <alignment vertical="top"/>
    </xf>
    <xf numFmtId="1" fontId="6" fillId="6" borderId="21" xfId="0" applyNumberFormat="1" applyFont="1" applyFill="1" applyBorder="1" applyAlignment="1">
      <alignment vertical="top"/>
    </xf>
    <xf numFmtId="164" fontId="9" fillId="6" borderId="0" xfId="0" applyNumberFormat="1" applyFont="1" applyFill="1" applyBorder="1" applyAlignment="1">
      <alignment horizontal="center" vertical="top"/>
    </xf>
    <xf numFmtId="0" fontId="5" fillId="6" borderId="17" xfId="0" applyFont="1" applyFill="1" applyBorder="1" applyAlignment="1">
      <alignment vertical="top"/>
    </xf>
    <xf numFmtId="0" fontId="5" fillId="6" borderId="0" xfId="0" applyFont="1" applyFill="1" applyBorder="1" applyAlignment="1">
      <alignment vertical="top"/>
    </xf>
    <xf numFmtId="2" fontId="5" fillId="6" borderId="0" xfId="0" applyNumberFormat="1" applyFont="1" applyFill="1" applyBorder="1" applyAlignment="1">
      <alignment vertical="top"/>
    </xf>
    <xf numFmtId="0" fontId="5" fillId="6" borderId="18" xfId="0" applyFont="1" applyFill="1" applyBorder="1" applyAlignment="1">
      <alignment vertical="top"/>
    </xf>
    <xf numFmtId="164" fontId="1" fillId="7" borderId="11" xfId="0" applyNumberFormat="1" applyFont="1" applyFill="1" applyBorder="1" applyAlignment="1">
      <alignment vertical="top"/>
    </xf>
    <xf numFmtId="1" fontId="5" fillId="6" borderId="0" xfId="0" applyNumberFormat="1" applyFont="1" applyFill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1" fontId="6" fillId="0" borderId="14" xfId="0" applyNumberFormat="1" applyFont="1" applyBorder="1" applyAlignment="1">
      <alignment vertical="top"/>
    </xf>
    <xf numFmtId="1" fontId="6" fillId="0" borderId="9" xfId="0" applyNumberFormat="1" applyFont="1" applyBorder="1" applyAlignment="1">
      <alignment vertical="top"/>
    </xf>
    <xf numFmtId="1" fontId="1" fillId="0" borderId="20" xfId="0" applyNumberFormat="1" applyFont="1" applyBorder="1" applyAlignment="1">
      <alignment vertical="top"/>
    </xf>
    <xf numFmtId="0" fontId="10" fillId="0" borderId="0" xfId="1" applyFont="1" applyAlignment="1" applyProtection="1"/>
    <xf numFmtId="0" fontId="2" fillId="0" borderId="0" xfId="0" applyFont="1"/>
    <xf numFmtId="1" fontId="1" fillId="0" borderId="11" xfId="0" applyNumberFormat="1" applyFont="1" applyBorder="1" applyAlignment="1">
      <alignment vertical="top"/>
    </xf>
    <xf numFmtId="1" fontId="4" fillId="0" borderId="12" xfId="0" applyNumberFormat="1" applyFont="1" applyBorder="1" applyAlignment="1">
      <alignment vertical="top"/>
    </xf>
    <xf numFmtId="1" fontId="1" fillId="0" borderId="12" xfId="0" applyNumberFormat="1" applyFont="1" applyBorder="1" applyAlignment="1">
      <alignment vertical="top"/>
    </xf>
    <xf numFmtId="1" fontId="1" fillId="0" borderId="21" xfId="0" applyNumberFormat="1" applyFont="1" applyBorder="1" applyAlignment="1">
      <alignment vertical="top"/>
    </xf>
    <xf numFmtId="10" fontId="2" fillId="0" borderId="20" xfId="0" applyNumberFormat="1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3" fontId="2" fillId="0" borderId="32" xfId="0" applyNumberFormat="1" applyFont="1" applyBorder="1" applyAlignment="1">
      <alignment vertical="top"/>
    </xf>
    <xf numFmtId="0" fontId="2" fillId="0" borderId="33" xfId="0" applyFont="1" applyBorder="1" applyAlignment="1">
      <alignment vertical="top"/>
    </xf>
    <xf numFmtId="3" fontId="2" fillId="0" borderId="34" xfId="0" applyNumberFormat="1" applyFont="1" applyBorder="1" applyAlignment="1">
      <alignment vertical="top"/>
    </xf>
    <xf numFmtId="0" fontId="2" fillId="0" borderId="35" xfId="0" applyFont="1" applyBorder="1" applyAlignment="1">
      <alignment vertical="top"/>
    </xf>
    <xf numFmtId="1" fontId="6" fillId="0" borderId="15" xfId="0" applyNumberFormat="1" applyFont="1" applyBorder="1" applyAlignment="1">
      <alignment vertical="top"/>
    </xf>
    <xf numFmtId="164" fontId="1" fillId="7" borderId="10" xfId="0" applyNumberFormat="1" applyFont="1" applyFill="1" applyBorder="1" applyAlignment="1">
      <alignment vertical="top"/>
    </xf>
    <xf numFmtId="1" fontId="1" fillId="0" borderId="0" xfId="0" applyNumberFormat="1" applyFont="1" applyBorder="1" applyAlignment="1">
      <alignment vertical="top"/>
    </xf>
    <xf numFmtId="3" fontId="1" fillId="0" borderId="4" xfId="0" applyNumberFormat="1" applyFont="1" applyBorder="1" applyAlignment="1">
      <alignment vertical="top"/>
    </xf>
    <xf numFmtId="3" fontId="1" fillId="0" borderId="5" xfId="0" applyNumberFormat="1" applyFont="1" applyBorder="1" applyAlignment="1">
      <alignment vertical="top"/>
    </xf>
    <xf numFmtId="3" fontId="2" fillId="0" borderId="6" xfId="0" applyNumberFormat="1" applyFont="1" applyBorder="1" applyAlignment="1">
      <alignment vertical="top"/>
    </xf>
    <xf numFmtId="3" fontId="2" fillId="0" borderId="7" xfId="0" applyNumberFormat="1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28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167" fontId="1" fillId="0" borderId="36" xfId="0" applyNumberFormat="1" applyFont="1" applyBorder="1" applyAlignment="1">
      <alignment vertical="top"/>
    </xf>
    <xf numFmtId="0" fontId="2" fillId="0" borderId="3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2" fontId="2" fillId="0" borderId="0" xfId="0" applyNumberFormat="1" applyFont="1" applyAlignment="1">
      <alignment vertical="top"/>
    </xf>
    <xf numFmtId="3" fontId="6" fillId="0" borderId="0" xfId="0" applyNumberFormat="1" applyFont="1" applyBorder="1" applyAlignment="1">
      <alignment vertical="top"/>
    </xf>
    <xf numFmtId="2" fontId="6" fillId="0" borderId="0" xfId="0" applyNumberFormat="1" applyFont="1" applyAlignment="1">
      <alignment vertical="top"/>
    </xf>
    <xf numFmtId="1" fontId="1" fillId="0" borderId="36" xfId="0" applyNumberFormat="1" applyFont="1" applyBorder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umulative@" TargetMode="External"/><Relationship Id="rId2" Type="http://schemas.openxmlformats.org/officeDocument/2006/relationships/hyperlink" Target="mailto:cumulative@" TargetMode="External"/><Relationship Id="rId1" Type="http://schemas.openxmlformats.org/officeDocument/2006/relationships/hyperlink" Target="http://www.whitehorsedc.gov.uk/java/support/Main.jsp?MODULE=ApplicationDetails&amp;REF=P06/V1939/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whitehorsedc.gov.uk/java/support/Main.jsp?MODULE=ApplicationDetails&amp;REF=P13/V0344/FU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="90" zoomScaleNormal="90" workbookViewId="0">
      <selection activeCell="F36" sqref="F36"/>
    </sheetView>
  </sheetViews>
  <sheetFormatPr defaultColWidth="9.109375" defaultRowHeight="12" customHeight="1" x14ac:dyDescent="0.3"/>
  <cols>
    <col min="1" max="1" width="55.109375" style="1" customWidth="1"/>
    <col min="2" max="2" width="9.109375" style="1" customWidth="1"/>
    <col min="3" max="4" width="9.6640625" style="1" customWidth="1"/>
    <col min="5" max="5" width="13.109375" style="1" customWidth="1"/>
    <col min="6" max="6" width="23.109375" style="1" customWidth="1"/>
    <col min="7" max="7" width="10.88671875" style="1" customWidth="1"/>
    <col min="8" max="8" width="16.33203125" style="1" customWidth="1"/>
    <col min="9" max="9" width="10.33203125" style="1" customWidth="1"/>
    <col min="10" max="10" width="12" style="2" customWidth="1"/>
    <col min="11" max="11" width="11.44140625" style="2" customWidth="1"/>
    <col min="12" max="12" width="15.109375" style="2" customWidth="1"/>
    <col min="13" max="13" width="11.33203125" style="2" customWidth="1"/>
    <col min="14" max="14" width="9.88671875" style="2" bestFit="1" customWidth="1"/>
    <col min="15" max="15" width="9.33203125" style="2" bestFit="1" customWidth="1"/>
    <col min="16" max="16" width="6.44140625" style="2" customWidth="1"/>
    <col min="17" max="17" width="8.5546875" style="2" customWidth="1"/>
    <col min="18" max="18" width="7.33203125" style="2" customWidth="1"/>
    <col min="19" max="19" width="7.6640625" style="2" customWidth="1"/>
    <col min="20" max="20" width="9.88671875" style="2" bestFit="1" customWidth="1"/>
    <col min="21" max="16384" width="9.109375" style="2"/>
  </cols>
  <sheetData>
    <row r="1" spans="1:15" ht="12" customHeight="1" thickBot="1" x14ac:dyDescent="0.35">
      <c r="A1" s="3" t="s">
        <v>0</v>
      </c>
      <c r="G1" s="4"/>
      <c r="H1" s="8" t="s">
        <v>15</v>
      </c>
      <c r="I1" s="2"/>
    </row>
    <row r="2" spans="1:15" ht="12" customHeight="1" x14ac:dyDescent="0.3">
      <c r="A2" s="54" t="s">
        <v>1</v>
      </c>
      <c r="B2" s="128">
        <v>6187</v>
      </c>
      <c r="C2" s="151">
        <v>2011</v>
      </c>
      <c r="D2" s="152"/>
      <c r="E2" s="122" t="s">
        <v>34</v>
      </c>
      <c r="F2" s="10"/>
      <c r="G2" s="11">
        <v>2001</v>
      </c>
      <c r="H2" s="11">
        <v>2011</v>
      </c>
      <c r="I2" s="11" t="s">
        <v>23</v>
      </c>
      <c r="J2" s="11">
        <v>2001</v>
      </c>
      <c r="K2" s="11">
        <v>2011</v>
      </c>
      <c r="L2" s="12" t="s">
        <v>35</v>
      </c>
    </row>
    <row r="3" spans="1:15" ht="12" customHeight="1" thickBot="1" x14ac:dyDescent="0.35">
      <c r="A3" s="118" t="s">
        <v>2</v>
      </c>
      <c r="B3" s="111">
        <v>7121</v>
      </c>
      <c r="C3" s="153">
        <v>3468</v>
      </c>
      <c r="D3" s="154" t="s">
        <v>3</v>
      </c>
      <c r="E3" s="150">
        <f>B3/B2-1</f>
        <v>0.1509616938742524</v>
      </c>
      <c r="F3" s="13"/>
      <c r="G3" s="12">
        <v>434</v>
      </c>
      <c r="H3" s="12">
        <v>533</v>
      </c>
      <c r="I3" s="12" t="s">
        <v>10</v>
      </c>
      <c r="J3" s="14">
        <v>7.0147082592532731E-2</v>
      </c>
      <c r="K3" s="14">
        <v>7.4849038056452752E-2</v>
      </c>
      <c r="L3" s="14">
        <f>K3-J3</f>
        <v>4.7019554639200212E-3</v>
      </c>
    </row>
    <row r="4" spans="1:15" ht="12" customHeight="1" x14ac:dyDescent="0.3">
      <c r="A4" s="117" t="s">
        <v>116</v>
      </c>
      <c r="B4" s="114">
        <v>3013</v>
      </c>
      <c r="C4" s="155">
        <v>3653</v>
      </c>
      <c r="D4" s="156" t="s">
        <v>5</v>
      </c>
      <c r="E4" s="5"/>
      <c r="G4" s="15">
        <v>1019</v>
      </c>
      <c r="H4" s="12">
        <v>1085</v>
      </c>
      <c r="I4" s="12" t="s">
        <v>11</v>
      </c>
      <c r="J4" s="14">
        <v>0.16470017779214483</v>
      </c>
      <c r="K4" s="14">
        <v>0.15236624069653137</v>
      </c>
      <c r="L4" s="14">
        <f t="shared" ref="L4:L6" si="0">K4-J4</f>
        <v>-1.2333937095613451E-2</v>
      </c>
    </row>
    <row r="5" spans="1:15" ht="12" customHeight="1" x14ac:dyDescent="0.3">
      <c r="A5" s="1" t="s">
        <v>6</v>
      </c>
      <c r="B5" s="16">
        <f>B3/B4</f>
        <v>2.3634251576501826</v>
      </c>
      <c r="E5" s="5"/>
      <c r="F5"/>
      <c r="G5" s="15">
        <v>3835</v>
      </c>
      <c r="H5" s="12">
        <v>4356</v>
      </c>
      <c r="I5" s="12" t="s">
        <v>12</v>
      </c>
      <c r="J5" s="14">
        <v>0.61984806853079033</v>
      </c>
      <c r="K5" s="14">
        <v>0.61171183822496844</v>
      </c>
      <c r="L5" s="14">
        <f t="shared" si="0"/>
        <v>-8.1362303058218899E-3</v>
      </c>
    </row>
    <row r="6" spans="1:15" ht="12" customHeight="1" x14ac:dyDescent="0.3">
      <c r="A6" s="1" t="s">
        <v>122</v>
      </c>
      <c r="B6" s="159">
        <v>3373</v>
      </c>
      <c r="C6" s="159">
        <f>B6*B5</f>
        <v>7971.8330567540661</v>
      </c>
      <c r="D6" s="159">
        <f>B4*B5+(B6-B4)*2.55</f>
        <v>8039</v>
      </c>
      <c r="E6" s="82">
        <f>(B6/B4)-1</f>
        <v>0.119482243611019</v>
      </c>
      <c r="F6" s="1" t="s">
        <v>123</v>
      </c>
      <c r="G6" s="15">
        <v>899</v>
      </c>
      <c r="H6" s="12">
        <v>1147</v>
      </c>
      <c r="I6" s="12" t="s">
        <v>13</v>
      </c>
      <c r="J6" s="14">
        <v>0.14530467108453207</v>
      </c>
      <c r="K6" s="14">
        <v>0.16107288302204747</v>
      </c>
      <c r="L6" s="14">
        <f t="shared" si="0"/>
        <v>1.5768211937515403E-2</v>
      </c>
    </row>
    <row r="7" spans="1:15" ht="12" customHeight="1" thickBot="1" x14ac:dyDescent="0.35">
      <c r="A7" s="3" t="s">
        <v>7</v>
      </c>
      <c r="B7" s="3" t="s">
        <v>4</v>
      </c>
      <c r="C7" s="3" t="s">
        <v>117</v>
      </c>
      <c r="D7" s="3" t="s">
        <v>49</v>
      </c>
      <c r="E7" s="5"/>
      <c r="G7" s="15">
        <v>6187</v>
      </c>
      <c r="H7" s="12">
        <v>7121</v>
      </c>
      <c r="I7" s="12" t="s">
        <v>14</v>
      </c>
    </row>
    <row r="8" spans="1:15" ht="12" customHeight="1" x14ac:dyDescent="0.2">
      <c r="A8" s="1" t="s">
        <v>8</v>
      </c>
      <c r="B8" s="17">
        <v>332</v>
      </c>
      <c r="C8" s="18">
        <f>B8*B$5</f>
        <v>784.65715233986066</v>
      </c>
      <c r="D8" s="18">
        <f>B8*2.55</f>
        <v>846.59999999999991</v>
      </c>
      <c r="E8" s="144" t="s">
        <v>73</v>
      </c>
      <c r="G8" s="2"/>
      <c r="H8" s="2"/>
      <c r="I8" s="2"/>
    </row>
    <row r="9" spans="1:15" ht="12" customHeight="1" x14ac:dyDescent="0.2">
      <c r="A9" s="1" t="s">
        <v>36</v>
      </c>
      <c r="B9" s="19">
        <v>11</v>
      </c>
      <c r="C9" s="20">
        <f>B9*B$5</f>
        <v>25.997676734152009</v>
      </c>
      <c r="D9" s="20">
        <f>B9*2.55</f>
        <v>28.049999999999997</v>
      </c>
      <c r="E9" s="145" t="s">
        <v>108</v>
      </c>
      <c r="F9" s="21" t="s">
        <v>28</v>
      </c>
      <c r="G9" s="22" t="s">
        <v>27</v>
      </c>
      <c r="H9" s="23" t="s">
        <v>31</v>
      </c>
      <c r="I9" s="22"/>
      <c r="J9" s="23" t="s">
        <v>31</v>
      </c>
      <c r="K9" s="22"/>
      <c r="L9" s="23" t="s">
        <v>31</v>
      </c>
      <c r="M9" s="22"/>
      <c r="N9" s="23" t="s">
        <v>31</v>
      </c>
      <c r="O9" s="22"/>
    </row>
    <row r="10" spans="1:15" ht="12" customHeight="1" x14ac:dyDescent="0.3">
      <c r="A10" s="1" t="s">
        <v>17</v>
      </c>
      <c r="B10" s="19">
        <v>50</v>
      </c>
      <c r="C10" s="20">
        <f>B10*B$5</f>
        <v>118.17125788250912</v>
      </c>
      <c r="D10" s="20">
        <f>B10*2.55</f>
        <v>127.49999999999999</v>
      </c>
      <c r="E10" s="5"/>
      <c r="F10" s="24" t="s">
        <v>38</v>
      </c>
      <c r="G10" s="25" t="s">
        <v>29</v>
      </c>
      <c r="H10" s="26" t="s">
        <v>30</v>
      </c>
      <c r="I10" s="25" t="s">
        <v>16</v>
      </c>
      <c r="J10" s="26" t="s">
        <v>32</v>
      </c>
      <c r="K10" s="25" t="s">
        <v>16</v>
      </c>
      <c r="L10" s="26" t="s">
        <v>120</v>
      </c>
      <c r="M10" s="25" t="s">
        <v>16</v>
      </c>
      <c r="N10" s="26" t="s">
        <v>33</v>
      </c>
      <c r="O10" s="25" t="s">
        <v>16</v>
      </c>
    </row>
    <row r="11" spans="1:15" ht="12" customHeight="1" x14ac:dyDescent="0.3">
      <c r="A11" s="1" t="s">
        <v>25</v>
      </c>
      <c r="B11" s="27">
        <f>B8+B9+B10</f>
        <v>393</v>
      </c>
      <c r="C11" s="28">
        <f>SUM(C8:C10)</f>
        <v>928.82608695652186</v>
      </c>
      <c r="D11" s="28">
        <f>SUM(D8:D10)</f>
        <v>1002.1499999999999</v>
      </c>
      <c r="E11" s="5"/>
      <c r="F11" s="29">
        <f>B3</f>
        <v>7121</v>
      </c>
      <c r="G11" s="30">
        <f>F11*0.612</f>
        <v>4358.0519999999997</v>
      </c>
      <c r="H11" s="31">
        <f>G11*0.27</f>
        <v>1176.6740400000001</v>
      </c>
      <c r="I11" s="30">
        <v>0</v>
      </c>
      <c r="J11" s="31">
        <f>G11*0.38</f>
        <v>1656.0597599999999</v>
      </c>
      <c r="K11" s="30">
        <v>0</v>
      </c>
      <c r="L11" s="31">
        <f>G11*0.39</f>
        <v>1699.6402799999998</v>
      </c>
      <c r="M11" s="30">
        <v>0</v>
      </c>
      <c r="N11" s="31">
        <f>G11*0.44</f>
        <v>1917.54288</v>
      </c>
      <c r="O11" s="30">
        <v>0</v>
      </c>
    </row>
    <row r="12" spans="1:15" ht="12" customHeight="1" thickBot="1" x14ac:dyDescent="0.35">
      <c r="A12" s="3" t="s">
        <v>53</v>
      </c>
      <c r="B12" s="115">
        <f>B11+B4</f>
        <v>3406</v>
      </c>
      <c r="C12" s="112">
        <f>B3+C11</f>
        <v>8049.826086956522</v>
      </c>
      <c r="D12" s="109">
        <f>B3+D11</f>
        <v>8123.15</v>
      </c>
      <c r="E12" s="44"/>
      <c r="F12" s="32">
        <f>C12</f>
        <v>8049.826086956522</v>
      </c>
      <c r="G12" s="30">
        <f>F12*0.612</f>
        <v>4926.4935652173917</v>
      </c>
      <c r="H12" s="31">
        <f>G12*0.27</f>
        <v>1330.153262608696</v>
      </c>
      <c r="I12" s="30">
        <f>H12-H$11</f>
        <v>153.47922260869586</v>
      </c>
      <c r="J12" s="31">
        <f>G12*0.38</f>
        <v>1872.0675547826088</v>
      </c>
      <c r="K12" s="30">
        <f>J12-J$11</f>
        <v>216.00779478260893</v>
      </c>
      <c r="L12" s="31">
        <f t="shared" ref="L12:L14" si="1">G12*0.39</f>
        <v>1921.3324904347828</v>
      </c>
      <c r="M12" s="30">
        <f>L12-L$11</f>
        <v>221.69221043478296</v>
      </c>
      <c r="N12" s="31">
        <f>G12*0.44</f>
        <v>2167.6571686956522</v>
      </c>
      <c r="O12" s="30">
        <f>N12-N$11</f>
        <v>250.11428869565225</v>
      </c>
    </row>
    <row r="13" spans="1:15" ht="12" customHeight="1" thickBot="1" x14ac:dyDescent="0.35">
      <c r="A13" s="1" t="s">
        <v>18</v>
      </c>
      <c r="B13" s="52">
        <f>(B12/B4-1)</f>
        <v>0.13043478260869557</v>
      </c>
      <c r="C13" s="52">
        <f>(C12/B3-1)</f>
        <v>0.13043478260869579</v>
      </c>
      <c r="D13" s="121">
        <f>(D12/B3-1)</f>
        <v>0.14073163881477324</v>
      </c>
      <c r="E13" s="5"/>
      <c r="F13" s="15">
        <f>C25</f>
        <v>9697.1334218386983</v>
      </c>
      <c r="G13" s="30">
        <f t="shared" ref="G13:G14" si="2">F13*0.612</f>
        <v>5934.6456541652833</v>
      </c>
      <c r="H13" s="33">
        <f>G13*0.27</f>
        <v>1602.3543266246265</v>
      </c>
      <c r="I13" s="30">
        <f t="shared" ref="I13:K14" si="3">H13-H$11</f>
        <v>425.68028662462643</v>
      </c>
      <c r="J13" s="33">
        <f>G13*0.38</f>
        <v>2255.1653485828078</v>
      </c>
      <c r="K13" s="30">
        <f t="shared" si="3"/>
        <v>599.10558858280797</v>
      </c>
      <c r="L13" s="31">
        <f t="shared" si="1"/>
        <v>2314.5118051244604</v>
      </c>
      <c r="M13" s="30">
        <f>L13-L$11</f>
        <v>614.8715251244605</v>
      </c>
      <c r="N13" s="31">
        <f t="shared" ref="N13:N14" si="4">G13*0.44</f>
        <v>2611.2440878327247</v>
      </c>
      <c r="O13" s="30">
        <f>N13-N$11</f>
        <v>693.70120783272478</v>
      </c>
    </row>
    <row r="14" spans="1:15" ht="12" customHeight="1" thickBot="1" x14ac:dyDescent="0.35">
      <c r="A14" s="1" t="s">
        <v>98</v>
      </c>
      <c r="B14" s="124"/>
      <c r="C14" s="46">
        <f t="shared" ref="C14" si="5">C12/$B2-1</f>
        <v>0.30108713220567673</v>
      </c>
      <c r="D14" s="125">
        <f>D12/$B2-1</f>
        <v>0.31293841926620325</v>
      </c>
      <c r="E14" s="5"/>
      <c r="F14" s="15">
        <f>C31</f>
        <v>10642.503484898771</v>
      </c>
      <c r="G14" s="30">
        <f t="shared" si="2"/>
        <v>6513.2121327580471</v>
      </c>
      <c r="H14" s="33">
        <f>G14*0.27</f>
        <v>1758.5672758446728</v>
      </c>
      <c r="I14" s="30">
        <f t="shared" si="3"/>
        <v>581.89323584467274</v>
      </c>
      <c r="J14" s="33">
        <f>G14*0.38</f>
        <v>2475.0206104480581</v>
      </c>
      <c r="K14" s="30">
        <f t="shared" si="3"/>
        <v>818.96085044805818</v>
      </c>
      <c r="L14" s="31">
        <f t="shared" si="1"/>
        <v>2540.1527317756386</v>
      </c>
      <c r="M14" s="30">
        <f>L14-L$11</f>
        <v>840.51245177563874</v>
      </c>
      <c r="N14" s="31">
        <f t="shared" si="4"/>
        <v>2865.8133384135408</v>
      </c>
      <c r="O14" s="30">
        <f>N14-N$11</f>
        <v>948.27045841354084</v>
      </c>
    </row>
    <row r="15" spans="1:15" ht="12" customHeight="1" x14ac:dyDescent="0.3">
      <c r="A15" s="3" t="s">
        <v>51</v>
      </c>
      <c r="B15" s="97" t="s">
        <v>4</v>
      </c>
      <c r="C15" s="122" t="s">
        <v>117</v>
      </c>
      <c r="D15" s="93" t="s">
        <v>49</v>
      </c>
      <c r="E15" s="5"/>
      <c r="F15" s="140"/>
      <c r="G15" s="141"/>
      <c r="H15" s="142"/>
      <c r="I15" s="141"/>
      <c r="J15" s="142"/>
      <c r="K15" s="141"/>
      <c r="L15" s="157"/>
      <c r="M15" s="141"/>
      <c r="N15" s="157"/>
      <c r="O15" s="141"/>
    </row>
    <row r="16" spans="1:15" ht="12" customHeight="1" x14ac:dyDescent="0.2">
      <c r="A16" s="1" t="s">
        <v>96</v>
      </c>
      <c r="B16" s="19">
        <v>28</v>
      </c>
      <c r="C16" s="5">
        <f t="shared" ref="C16:C21" si="6">B16*B$5</f>
        <v>66.175904414205107</v>
      </c>
      <c r="D16" s="20">
        <f>B16*2.55</f>
        <v>71.399999999999991</v>
      </c>
      <c r="E16" s="144" t="s">
        <v>107</v>
      </c>
    </row>
    <row r="17" spans="1:15" ht="12" customHeight="1" x14ac:dyDescent="0.3">
      <c r="A17" s="1" t="s">
        <v>110</v>
      </c>
      <c r="B17" s="19">
        <v>36</v>
      </c>
      <c r="C17" s="5">
        <f t="shared" si="6"/>
        <v>85.083305675406578</v>
      </c>
      <c r="D17" s="20">
        <f t="shared" ref="D17:D20" si="7">B17*2.55</f>
        <v>91.8</v>
      </c>
      <c r="E17" s="16" t="s">
        <v>109</v>
      </c>
      <c r="F17" s="21" t="s">
        <v>28</v>
      </c>
      <c r="G17" s="22" t="s">
        <v>27</v>
      </c>
      <c r="H17" s="23" t="s">
        <v>31</v>
      </c>
      <c r="I17" s="22"/>
      <c r="J17" s="23" t="s">
        <v>31</v>
      </c>
      <c r="K17" s="22"/>
      <c r="L17" s="23" t="s">
        <v>31</v>
      </c>
      <c r="M17" s="22"/>
      <c r="N17" s="23" t="s">
        <v>31</v>
      </c>
      <c r="O17" s="22"/>
    </row>
    <row r="18" spans="1:15" ht="12" customHeight="1" x14ac:dyDescent="0.3">
      <c r="A18" s="1" t="s">
        <v>93</v>
      </c>
      <c r="B18" s="19">
        <v>10</v>
      </c>
      <c r="C18" s="5">
        <f t="shared" si="6"/>
        <v>23.634251576501825</v>
      </c>
      <c r="D18" s="20">
        <f t="shared" si="7"/>
        <v>25.5</v>
      </c>
      <c r="E18" s="16" t="s">
        <v>136</v>
      </c>
      <c r="F18" s="24" t="s">
        <v>39</v>
      </c>
      <c r="G18" s="25" t="s">
        <v>29</v>
      </c>
      <c r="H18" s="26" t="s">
        <v>30</v>
      </c>
      <c r="I18" s="25" t="s">
        <v>16</v>
      </c>
      <c r="J18" s="26" t="s">
        <v>32</v>
      </c>
      <c r="K18" s="25" t="s">
        <v>16</v>
      </c>
      <c r="L18" s="26" t="s">
        <v>120</v>
      </c>
      <c r="M18" s="25" t="s">
        <v>16</v>
      </c>
      <c r="N18" s="26" t="s">
        <v>33</v>
      </c>
      <c r="O18" s="25" t="s">
        <v>16</v>
      </c>
    </row>
    <row r="19" spans="1:15" ht="12" customHeight="1" x14ac:dyDescent="0.3">
      <c r="A19" s="1" t="s">
        <v>94</v>
      </c>
      <c r="B19" s="19">
        <v>11</v>
      </c>
      <c r="C19" s="5">
        <f t="shared" si="6"/>
        <v>25.997676734152009</v>
      </c>
      <c r="D19" s="20">
        <f t="shared" si="7"/>
        <v>28.049999999999997</v>
      </c>
      <c r="E19" s="16" t="s">
        <v>137</v>
      </c>
      <c r="F19" s="32">
        <f>D12</f>
        <v>8123.15</v>
      </c>
      <c r="G19" s="30">
        <f>F19*0.612</f>
        <v>4971.3678</v>
      </c>
      <c r="H19" s="31">
        <f>G19*0.27</f>
        <v>1342.2693060000001</v>
      </c>
      <c r="I19" s="30">
        <f>H19-H$11</f>
        <v>165.59526600000004</v>
      </c>
      <c r="J19" s="31">
        <f>G19*0.38</f>
        <v>1889.119764</v>
      </c>
      <c r="K19" s="30">
        <f>J19-J$11</f>
        <v>233.06000400000016</v>
      </c>
      <c r="L19" s="31">
        <f>G19*0.39</f>
        <v>1938.8334420000001</v>
      </c>
      <c r="M19" s="30">
        <f>L19-L$11</f>
        <v>239.19316200000026</v>
      </c>
      <c r="N19" s="31">
        <f>G19*0.44</f>
        <v>2187.401832</v>
      </c>
      <c r="O19" s="30">
        <f>N19-N$11</f>
        <v>269.85895200000004</v>
      </c>
    </row>
    <row r="20" spans="1:15" ht="12" customHeight="1" x14ac:dyDescent="0.3">
      <c r="A20" s="1" t="s">
        <v>95</v>
      </c>
      <c r="B20" s="19">
        <v>14</v>
      </c>
      <c r="C20" s="5">
        <f t="shared" si="6"/>
        <v>33.087952207102553</v>
      </c>
      <c r="D20" s="20">
        <f t="shared" si="7"/>
        <v>35.699999999999996</v>
      </c>
      <c r="E20" s="16" t="s">
        <v>133</v>
      </c>
      <c r="F20" s="15">
        <f>D25</f>
        <v>9900.5</v>
      </c>
      <c r="G20" s="30">
        <f t="shared" ref="G20:G21" si="8">F20*0.612</f>
        <v>6059.1059999999998</v>
      </c>
      <c r="H20" s="33">
        <f>G20*0.27</f>
        <v>1635.9586200000001</v>
      </c>
      <c r="I20" s="30">
        <f t="shared" ref="I20:K21" si="9">H20-H$11</f>
        <v>459.28458000000001</v>
      </c>
      <c r="J20" s="33">
        <f>G20*0.38</f>
        <v>2302.4602799999998</v>
      </c>
      <c r="K20" s="30">
        <f t="shared" si="9"/>
        <v>646.40051999999991</v>
      </c>
      <c r="L20" s="31">
        <f t="shared" ref="L20:L21" si="10">G20*0.39</f>
        <v>2363.05134</v>
      </c>
      <c r="M20" s="30">
        <f>L20-L$11</f>
        <v>663.41106000000013</v>
      </c>
      <c r="N20" s="31">
        <f t="shared" ref="N20:N21" si="11">G20*0.44</f>
        <v>2666.0066400000001</v>
      </c>
      <c r="O20" s="30">
        <f>N20-N$11</f>
        <v>748.46376000000009</v>
      </c>
    </row>
    <row r="21" spans="1:15" ht="12" customHeight="1" x14ac:dyDescent="0.3">
      <c r="A21" s="1" t="s">
        <v>124</v>
      </c>
      <c r="B21" s="19">
        <v>18</v>
      </c>
      <c r="C21" s="5">
        <f t="shared" si="6"/>
        <v>42.541652837703289</v>
      </c>
      <c r="D21" s="20">
        <f t="shared" ref="D21" si="12">B21*2.55</f>
        <v>45.9</v>
      </c>
      <c r="E21" s="16" t="s">
        <v>134</v>
      </c>
      <c r="F21" s="15">
        <f>D31</f>
        <v>10920.5</v>
      </c>
      <c r="G21" s="30">
        <f t="shared" si="8"/>
        <v>6683.3459999999995</v>
      </c>
      <c r="H21" s="33">
        <f>G21*0.27</f>
        <v>1804.50342</v>
      </c>
      <c r="I21" s="30">
        <f t="shared" si="9"/>
        <v>627.8293799999999</v>
      </c>
      <c r="J21" s="33">
        <f>G21*0.38</f>
        <v>2539.67148</v>
      </c>
      <c r="K21" s="30">
        <f t="shared" si="9"/>
        <v>883.6117200000001</v>
      </c>
      <c r="L21" s="31">
        <f t="shared" si="10"/>
        <v>2606.5049399999998</v>
      </c>
      <c r="M21" s="30">
        <f>L21-L$11</f>
        <v>906.86465999999996</v>
      </c>
      <c r="N21" s="31">
        <f t="shared" si="11"/>
        <v>2940.6722399999999</v>
      </c>
      <c r="O21" s="30">
        <f>N21-N$11</f>
        <v>1023.1293599999999</v>
      </c>
    </row>
    <row r="22" spans="1:15" ht="12" customHeight="1" x14ac:dyDescent="0.3">
      <c r="A22" s="1" t="s">
        <v>104</v>
      </c>
      <c r="B22" s="19">
        <v>380</v>
      </c>
      <c r="C22" s="5">
        <f>B22*B$5</f>
        <v>898.10155990706937</v>
      </c>
      <c r="D22" s="20">
        <f>B22*2.55</f>
        <v>968.99999999999989</v>
      </c>
      <c r="E22" s="16" t="s">
        <v>135</v>
      </c>
      <c r="F22" s="140"/>
      <c r="G22" s="141"/>
      <c r="H22" s="142"/>
      <c r="I22" s="141"/>
      <c r="J22" s="142"/>
      <c r="K22" s="141"/>
      <c r="L22" s="157"/>
      <c r="M22" s="141"/>
      <c r="N22" s="157"/>
      <c r="O22" s="141"/>
    </row>
    <row r="23" spans="1:15" ht="12" customHeight="1" thickBot="1" x14ac:dyDescent="0.35">
      <c r="A23" s="1" t="s">
        <v>81</v>
      </c>
      <c r="B23" s="50">
        <v>200</v>
      </c>
      <c r="C23" s="86">
        <f>B23*B5</f>
        <v>472.6850315300365</v>
      </c>
      <c r="D23" s="123">
        <f>B23*2.55</f>
        <v>509.99999999999994</v>
      </c>
      <c r="E23" s="16" t="s">
        <v>42</v>
      </c>
      <c r="F23" s="7"/>
      <c r="G23" s="5"/>
      <c r="H23" s="5"/>
      <c r="I23" s="5"/>
      <c r="J23" s="5"/>
      <c r="K23" s="5"/>
      <c r="L23" s="5"/>
      <c r="M23" s="5"/>
    </row>
    <row r="24" spans="1:15" ht="12" customHeight="1" thickBot="1" x14ac:dyDescent="0.35">
      <c r="A24" s="36" t="s">
        <v>26</v>
      </c>
      <c r="B24" s="108">
        <f>SUM(B16:B23)</f>
        <v>697</v>
      </c>
      <c r="C24" s="108">
        <f t="shared" ref="C24:D24" si="13">SUM(C16:C23)</f>
        <v>1647.3073348821772</v>
      </c>
      <c r="D24" s="108">
        <f t="shared" si="13"/>
        <v>1777.35</v>
      </c>
      <c r="H24" s="72"/>
      <c r="I24" s="73"/>
      <c r="J24" s="85" t="s">
        <v>59</v>
      </c>
      <c r="K24" s="10"/>
    </row>
    <row r="25" spans="1:15" ht="12" customHeight="1" thickBot="1" x14ac:dyDescent="0.35">
      <c r="A25" s="102" t="s">
        <v>89</v>
      </c>
      <c r="B25" s="116">
        <f>B12+B24</f>
        <v>4103</v>
      </c>
      <c r="C25" s="113">
        <f>C12+C24</f>
        <v>9697.1334218386983</v>
      </c>
      <c r="D25" s="110">
        <f>D12+D24</f>
        <v>9900.5</v>
      </c>
      <c r="E25" s="5"/>
      <c r="H25" s="65" t="s">
        <v>76</v>
      </c>
      <c r="I25" s="5">
        <v>342</v>
      </c>
      <c r="J25" s="16">
        <v>2.71</v>
      </c>
      <c r="K25" s="66" t="s">
        <v>99</v>
      </c>
      <c r="L25" s="2" t="s">
        <v>63</v>
      </c>
      <c r="M25" s="2" t="s">
        <v>64</v>
      </c>
    </row>
    <row r="26" spans="1:15" ht="12" customHeight="1" x14ac:dyDescent="0.3">
      <c r="A26" s="1" t="s">
        <v>111</v>
      </c>
      <c r="B26" s="146">
        <f>B25-B12</f>
        <v>697</v>
      </c>
      <c r="C26" s="98">
        <f>C25/C12-1</f>
        <v>0.20463887257780367</v>
      </c>
      <c r="D26" s="138">
        <f>D25/D12-1</f>
        <v>0.21880058844167594</v>
      </c>
      <c r="E26" s="7">
        <f>D25-B3</f>
        <v>2779.5</v>
      </c>
      <c r="F26" s="1" t="s">
        <v>62</v>
      </c>
      <c r="H26" s="134" t="s">
        <v>77</v>
      </c>
      <c r="I26" s="135">
        <f>J26*200</f>
        <v>542</v>
      </c>
      <c r="J26" s="136">
        <v>2.71</v>
      </c>
      <c r="K26" s="137" t="s">
        <v>60</v>
      </c>
    </row>
    <row r="27" spans="1:15" ht="12" customHeight="1" x14ac:dyDescent="0.3">
      <c r="A27" s="99" t="s">
        <v>114</v>
      </c>
      <c r="B27" s="147">
        <f>B25-B4</f>
        <v>1090</v>
      </c>
      <c r="C27" s="48">
        <f>(C25/B3-1)</f>
        <v>0.3617656820444739</v>
      </c>
      <c r="D27" s="119">
        <f>(D25/B3-1)</f>
        <v>0.390324392641483</v>
      </c>
      <c r="E27" s="5"/>
      <c r="F27" s="35"/>
      <c r="G27" s="16"/>
      <c r="H27" s="65" t="s">
        <v>40</v>
      </c>
      <c r="I27" s="5">
        <v>509</v>
      </c>
      <c r="J27" s="16">
        <f>I27/G36</f>
        <v>2.5449999999999999</v>
      </c>
      <c r="K27" s="66"/>
    </row>
    <row r="28" spans="1:15" ht="12" customHeight="1" thickBot="1" x14ac:dyDescent="0.35">
      <c r="A28" s="99" t="s">
        <v>37</v>
      </c>
      <c r="B28" s="103"/>
      <c r="C28" s="103">
        <f>C25/B2-1</f>
        <v>0.56734013606573441</v>
      </c>
      <c r="D28" s="126">
        <f>(D25/B2-1)</f>
        <v>0.60021011798933244</v>
      </c>
      <c r="E28" s="5"/>
      <c r="H28" s="65" t="s">
        <v>54</v>
      </c>
      <c r="I28" s="5">
        <v>473</v>
      </c>
      <c r="J28" s="16">
        <v>3.15</v>
      </c>
      <c r="K28" s="66" t="s">
        <v>99</v>
      </c>
    </row>
    <row r="29" spans="1:15" ht="12" customHeight="1" thickBot="1" x14ac:dyDescent="0.35">
      <c r="B29" s="3" t="s">
        <v>4</v>
      </c>
      <c r="C29" s="3" t="s">
        <v>117</v>
      </c>
      <c r="D29" s="3" t="s">
        <v>49</v>
      </c>
      <c r="E29" s="5"/>
      <c r="H29" s="134" t="s">
        <v>58</v>
      </c>
      <c r="I29" s="139">
        <f>I28/150*200</f>
        <v>630.66666666666663</v>
      </c>
      <c r="J29" s="136">
        <v>3.15</v>
      </c>
      <c r="K29" s="137" t="s">
        <v>60</v>
      </c>
    </row>
    <row r="30" spans="1:15" ht="12" customHeight="1" thickBot="1" x14ac:dyDescent="0.35">
      <c r="A30" s="101" t="s">
        <v>83</v>
      </c>
      <c r="B30" s="100">
        <f>G37+G35</f>
        <v>400</v>
      </c>
      <c r="C30" s="100">
        <f>B30*B5</f>
        <v>945.37006306007299</v>
      </c>
      <c r="D30" s="100">
        <f>B30*2.55</f>
        <v>1019.9999999999999</v>
      </c>
      <c r="E30" s="5"/>
      <c r="H30" s="67" t="s">
        <v>101</v>
      </c>
      <c r="I30" s="42">
        <f>B22*J30</f>
        <v>950</v>
      </c>
      <c r="J30" s="42">
        <v>2.5</v>
      </c>
      <c r="K30" s="13" t="s">
        <v>99</v>
      </c>
    </row>
    <row r="31" spans="1:15" ht="12" customHeight="1" thickBot="1" x14ac:dyDescent="0.35">
      <c r="A31" s="3" t="s">
        <v>88</v>
      </c>
      <c r="B31" s="116">
        <f>B25+B30</f>
        <v>4503</v>
      </c>
      <c r="C31" s="113">
        <f>C25+C30</f>
        <v>10642.503484898771</v>
      </c>
      <c r="D31" s="110">
        <f>D25+D30</f>
        <v>10920.5</v>
      </c>
      <c r="E31" s="7">
        <f>D31-B3</f>
        <v>3799.5</v>
      </c>
      <c r="F31" s="1" t="s">
        <v>62</v>
      </c>
      <c r="K31" s="3" t="s">
        <v>118</v>
      </c>
      <c r="L31" s="4" t="s">
        <v>61</v>
      </c>
    </row>
    <row r="32" spans="1:15" ht="12" customHeight="1" thickBot="1" x14ac:dyDescent="0.35">
      <c r="A32" s="1" t="s">
        <v>115</v>
      </c>
      <c r="B32" s="148">
        <f>B31-B25</f>
        <v>400</v>
      </c>
      <c r="C32" s="47">
        <f>C31/C25-1</f>
        <v>9.7489641725566623E-2</v>
      </c>
      <c r="D32" s="47">
        <f>D31/D25-1</f>
        <v>0.10302509974243734</v>
      </c>
      <c r="E32" s="5">
        <f>D31-D12</f>
        <v>2797.3500000000004</v>
      </c>
      <c r="F32" s="1" t="s">
        <v>100</v>
      </c>
      <c r="K32" s="1" t="s">
        <v>46</v>
      </c>
    </row>
    <row r="33" spans="1:13" ht="12" customHeight="1" thickBot="1" x14ac:dyDescent="0.3">
      <c r="A33" s="1" t="s">
        <v>112</v>
      </c>
      <c r="B33" s="148">
        <f>B31-B12</f>
        <v>1097</v>
      </c>
      <c r="C33" s="47">
        <f>C31/C12-1</f>
        <v>0.32207868467410439</v>
      </c>
      <c r="D33" s="158">
        <f>D31/D12-1</f>
        <v>0.34436764063202085</v>
      </c>
      <c r="E33" s="5"/>
      <c r="H33" s="81" t="s">
        <v>119</v>
      </c>
      <c r="I33" s="81" t="s">
        <v>50</v>
      </c>
      <c r="J33" s="84" t="s">
        <v>106</v>
      </c>
      <c r="K33" s="77" t="s">
        <v>47</v>
      </c>
      <c r="L33" s="10"/>
      <c r="M33" s="17" t="s">
        <v>48</v>
      </c>
    </row>
    <row r="34" spans="1:13" ht="12" customHeight="1" thickBot="1" x14ac:dyDescent="0.35">
      <c r="A34" s="1" t="s">
        <v>113</v>
      </c>
      <c r="B34" s="149">
        <f>B31-B4</f>
        <v>1490</v>
      </c>
      <c r="C34" s="51">
        <f>(C31/B3-1)</f>
        <v>0.49452373050116138</v>
      </c>
      <c r="D34" s="120">
        <f>(D31/B3-1)</f>
        <v>0.53356270186771515</v>
      </c>
      <c r="E34" s="78"/>
      <c r="F34" s="79" t="s">
        <v>75</v>
      </c>
      <c r="G34" s="80" t="s">
        <v>19</v>
      </c>
      <c r="H34" s="20">
        <f>B$5*G35</f>
        <v>472.6850315300365</v>
      </c>
      <c r="I34" s="20">
        <f t="shared" ref="I34:I36" si="14">G35*2.55</f>
        <v>509.99999999999994</v>
      </c>
      <c r="J34" s="131">
        <f>I26</f>
        <v>542</v>
      </c>
      <c r="K34" s="82">
        <f t="shared" ref="K34:L36" si="15">H34/C$25</f>
        <v>4.8744820862783332E-2</v>
      </c>
      <c r="L34" s="38">
        <f t="shared" si="15"/>
        <v>5.1512549871218623E-2</v>
      </c>
      <c r="M34" s="55">
        <f>I34/B$3</f>
        <v>7.1619154613116132E-2</v>
      </c>
    </row>
    <row r="35" spans="1:13" ht="12" customHeight="1" thickBot="1" x14ac:dyDescent="0.35">
      <c r="A35" s="36" t="s">
        <v>24</v>
      </c>
      <c r="B35" s="53"/>
      <c r="C35" s="52">
        <f>(C31-B2)/B2</f>
        <v>0.72013956439288362</v>
      </c>
      <c r="D35" s="127">
        <f>(D31-B2)/B2</f>
        <v>0.76507192500404075</v>
      </c>
      <c r="E35" s="40" t="s">
        <v>41</v>
      </c>
      <c r="F35" s="66" t="s">
        <v>20</v>
      </c>
      <c r="G35" s="129">
        <v>200</v>
      </c>
      <c r="H35" s="45">
        <f>B$5*G36</f>
        <v>472.6850315300365</v>
      </c>
      <c r="I35" s="45">
        <f t="shared" si="14"/>
        <v>509.99999999999994</v>
      </c>
      <c r="J35" s="45">
        <v>509</v>
      </c>
      <c r="K35" s="82">
        <f t="shared" si="15"/>
        <v>4.8744820862783332E-2</v>
      </c>
      <c r="L35" s="38">
        <f t="shared" si="15"/>
        <v>5.1512549871218623E-2</v>
      </c>
      <c r="M35" s="90">
        <f>I35/B$3</f>
        <v>7.1619154613116132E-2</v>
      </c>
    </row>
    <row r="36" spans="1:13" ht="12" customHeight="1" thickBot="1" x14ac:dyDescent="0.35">
      <c r="B36" s="3" t="s">
        <v>4</v>
      </c>
      <c r="C36" s="3" t="s">
        <v>117</v>
      </c>
      <c r="D36" s="3" t="s">
        <v>49</v>
      </c>
      <c r="E36" s="87" t="s">
        <v>42</v>
      </c>
      <c r="F36" s="88" t="s">
        <v>21</v>
      </c>
      <c r="G36" s="89">
        <v>200</v>
      </c>
      <c r="H36" s="59">
        <f>B$5*G37</f>
        <v>472.6850315300365</v>
      </c>
      <c r="I36" s="59">
        <f t="shared" si="14"/>
        <v>509.99999999999994</v>
      </c>
      <c r="J36" s="132">
        <f>I29</f>
        <v>630.66666666666663</v>
      </c>
      <c r="K36" s="83">
        <f t="shared" si="15"/>
        <v>4.8744820862783332E-2</v>
      </c>
      <c r="L36" s="43">
        <f t="shared" si="15"/>
        <v>5.1512549871218623E-2</v>
      </c>
      <c r="M36" s="56">
        <f>I36/B$3</f>
        <v>7.1619154613116132E-2</v>
      </c>
    </row>
    <row r="37" spans="1:13" ht="12" customHeight="1" thickBot="1" x14ac:dyDescent="0.35">
      <c r="E37" s="41" t="s">
        <v>43</v>
      </c>
      <c r="F37" s="13" t="s">
        <v>22</v>
      </c>
      <c r="G37" s="130">
        <v>200</v>
      </c>
      <c r="H37" s="60">
        <f>SUM(H34:H36)</f>
        <v>1418.0550945901095</v>
      </c>
      <c r="I37" s="60">
        <f>SUM(I34:I36)</f>
        <v>1529.9999999999998</v>
      </c>
      <c r="J37" s="133" t="s">
        <v>78</v>
      </c>
      <c r="K37" s="61">
        <f>H37/C25</f>
        <v>0.14623446258834999</v>
      </c>
      <c r="L37" s="62">
        <f>I37/D25</f>
        <v>0.15453764961365585</v>
      </c>
      <c r="M37" s="52">
        <f>I37/B3</f>
        <v>0.21485746383934837</v>
      </c>
    </row>
    <row r="38" spans="1:13" ht="12" customHeight="1" thickBot="1" x14ac:dyDescent="0.35">
      <c r="A38" s="9" t="s">
        <v>90</v>
      </c>
      <c r="B38" s="9" t="s">
        <v>4</v>
      </c>
      <c r="C38" s="73"/>
      <c r="D38" s="93" t="s">
        <v>49</v>
      </c>
      <c r="E38" s="34"/>
      <c r="F38" s="6" t="s">
        <v>9</v>
      </c>
      <c r="G38" s="58">
        <f>SUM(G35:G37)</f>
        <v>600</v>
      </c>
    </row>
    <row r="39" spans="1:13" ht="12" customHeight="1" thickBot="1" x14ac:dyDescent="0.35">
      <c r="A39" s="164" t="s">
        <v>91</v>
      </c>
      <c r="B39" s="65">
        <f>B22+G37</f>
        <v>580</v>
      </c>
      <c r="C39" s="3"/>
      <c r="D39" s="66">
        <f>B39*2.55</f>
        <v>1479</v>
      </c>
      <c r="E39" s="5"/>
    </row>
    <row r="40" spans="1:13" ht="12" customHeight="1" x14ac:dyDescent="0.3">
      <c r="A40" s="65" t="s">
        <v>55</v>
      </c>
      <c r="B40" s="65"/>
      <c r="C40" s="7"/>
      <c r="D40" s="92">
        <f>D39+D12</f>
        <v>9602.15</v>
      </c>
      <c r="E40" s="5"/>
      <c r="G40" s="9" t="s">
        <v>84</v>
      </c>
      <c r="H40" s="93" t="s">
        <v>85</v>
      </c>
      <c r="I40" s="9" t="s">
        <v>84</v>
      </c>
      <c r="J40" s="93" t="s">
        <v>85</v>
      </c>
      <c r="K40" s="97" t="s">
        <v>45</v>
      </c>
    </row>
    <row r="41" spans="1:13" ht="12" customHeight="1" thickBot="1" x14ac:dyDescent="0.3">
      <c r="A41" s="104" t="s">
        <v>16</v>
      </c>
      <c r="B41" s="104"/>
      <c r="C41" s="49"/>
      <c r="D41" s="105">
        <f>D40/D12-1</f>
        <v>0.18207222567600012</v>
      </c>
      <c r="E41" s="5"/>
      <c r="F41" s="91"/>
      <c r="G41" s="95" t="s">
        <v>119</v>
      </c>
      <c r="H41" s="96" t="s">
        <v>119</v>
      </c>
      <c r="I41" s="95" t="s">
        <v>50</v>
      </c>
      <c r="J41" s="96" t="s">
        <v>50</v>
      </c>
      <c r="K41" s="57" t="s">
        <v>44</v>
      </c>
    </row>
    <row r="42" spans="1:13" ht="12" customHeight="1" x14ac:dyDescent="0.3">
      <c r="A42" s="165" t="s">
        <v>52</v>
      </c>
      <c r="B42" s="106">
        <f>G35+G37</f>
        <v>400</v>
      </c>
      <c r="C42" s="23"/>
      <c r="D42" s="107">
        <f>B42*2.55</f>
        <v>1019.9999999999999</v>
      </c>
      <c r="E42" s="5"/>
      <c r="F42" s="97" t="s">
        <v>21</v>
      </c>
      <c r="G42" s="160">
        <f>C25</f>
        <v>9697.1334218386983</v>
      </c>
      <c r="H42" s="161">
        <f>G42</f>
        <v>9697.1334218386983</v>
      </c>
      <c r="I42" s="160">
        <f>D25</f>
        <v>9900.5</v>
      </c>
      <c r="J42" s="161">
        <f>I42</f>
        <v>9900.5</v>
      </c>
      <c r="K42" s="98">
        <f>I42/B$3-1</f>
        <v>0.390324392641483</v>
      </c>
    </row>
    <row r="43" spans="1:13" ht="12" customHeight="1" x14ac:dyDescent="0.3">
      <c r="A43" s="65" t="s">
        <v>92</v>
      </c>
      <c r="B43" s="65"/>
      <c r="D43" s="92">
        <f>D42+D12</f>
        <v>9143.15</v>
      </c>
      <c r="E43" s="5"/>
      <c r="F43" s="19" t="s">
        <v>22</v>
      </c>
      <c r="G43" s="94">
        <f>G42+H36</f>
        <v>10169.818453368734</v>
      </c>
      <c r="H43" s="92">
        <f>H36+H42</f>
        <v>10169.818453368734</v>
      </c>
      <c r="I43" s="94">
        <f>I42+I36</f>
        <v>10410.5</v>
      </c>
      <c r="J43" s="92">
        <f>J42+I36</f>
        <v>10410.5</v>
      </c>
      <c r="K43" s="55">
        <f>I43/B$3-1</f>
        <v>0.46194354725459896</v>
      </c>
    </row>
    <row r="44" spans="1:13" ht="12" customHeight="1" thickBot="1" x14ac:dyDescent="0.35">
      <c r="A44" s="67" t="s">
        <v>16</v>
      </c>
      <c r="B44" s="67"/>
      <c r="C44" s="42"/>
      <c r="D44" s="43">
        <f>D43/D12-1</f>
        <v>0.12556705219034492</v>
      </c>
      <c r="E44" s="5"/>
      <c r="F44" s="50" t="s">
        <v>20</v>
      </c>
      <c r="G44" s="162">
        <f>H34+G42</f>
        <v>10169.818453368734</v>
      </c>
      <c r="H44" s="163">
        <f>H43+H34</f>
        <v>10642.503484898771</v>
      </c>
      <c r="I44" s="162">
        <f>I42+I34</f>
        <v>10410.5</v>
      </c>
      <c r="J44" s="163">
        <f>J43+I34</f>
        <v>10920.5</v>
      </c>
      <c r="K44" s="56">
        <f>I44/B$3-1</f>
        <v>0.46194354725459896</v>
      </c>
    </row>
    <row r="45" spans="1:13" ht="12" customHeight="1" thickBot="1" x14ac:dyDescent="0.35">
      <c r="A45" s="36" t="s">
        <v>125</v>
      </c>
      <c r="B45" s="101">
        <f>B39+B42+B19+B20+B21</f>
        <v>1023</v>
      </c>
      <c r="C45" s="108">
        <f>B45*B$5</f>
        <v>2417.783936276137</v>
      </c>
      <c r="D45" s="108">
        <f>B45*2.55</f>
        <v>2608.6499999999996</v>
      </c>
      <c r="E45" s="37"/>
      <c r="F45" s="1" t="s">
        <v>56</v>
      </c>
      <c r="G45" s="1" t="s">
        <v>57</v>
      </c>
      <c r="J45" s="1"/>
      <c r="K45" s="1"/>
    </row>
    <row r="46" spans="1:13" ht="12" customHeight="1" x14ac:dyDescent="0.3">
      <c r="D46" s="7"/>
      <c r="F46" s="1" t="s">
        <v>86</v>
      </c>
      <c r="G46" s="1" t="s">
        <v>87</v>
      </c>
      <c r="J46" s="1"/>
      <c r="K46" s="1"/>
    </row>
    <row r="47" spans="1:13" ht="12" customHeight="1" x14ac:dyDescent="0.3">
      <c r="D47" s="82"/>
      <c r="J47" s="1"/>
      <c r="K47" s="1"/>
    </row>
    <row r="48" spans="1:13" ht="12" customHeight="1" x14ac:dyDescent="0.3">
      <c r="J48" s="1"/>
      <c r="K48" s="1"/>
    </row>
    <row r="49" spans="1:15" ht="12" customHeight="1" thickBot="1" x14ac:dyDescent="0.35">
      <c r="C49" s="1" t="s">
        <v>138</v>
      </c>
      <c r="J49" s="1"/>
      <c r="K49" s="1"/>
    </row>
    <row r="50" spans="1:15" ht="12" customHeight="1" thickBot="1" x14ac:dyDescent="0.35">
      <c r="A50" s="3" t="s">
        <v>103</v>
      </c>
      <c r="B50" s="101" t="s">
        <v>4</v>
      </c>
      <c r="C50" s="101" t="s">
        <v>105</v>
      </c>
      <c r="D50" s="101" t="s">
        <v>139</v>
      </c>
      <c r="G50" s="91" t="s">
        <v>82</v>
      </c>
      <c r="H50" s="71">
        <v>5501000</v>
      </c>
      <c r="I50" s="4" t="s">
        <v>69</v>
      </c>
    </row>
    <row r="51" spans="1:15" ht="12" customHeight="1" x14ac:dyDescent="0.3">
      <c r="A51" s="1" t="s">
        <v>96</v>
      </c>
      <c r="B51" s="19">
        <v>28</v>
      </c>
      <c r="C51" s="20">
        <f>B51*2.55</f>
        <v>71.399999999999991</v>
      </c>
      <c r="D51" s="20"/>
      <c r="E51" s="73"/>
      <c r="F51" s="73" t="s">
        <v>66</v>
      </c>
      <c r="G51" s="73"/>
      <c r="H51" s="73"/>
      <c r="I51" s="73"/>
      <c r="J51" s="73"/>
      <c r="K51" s="73"/>
      <c r="L51" s="73"/>
      <c r="M51" s="73"/>
      <c r="N51" s="73"/>
      <c r="O51" s="10"/>
    </row>
    <row r="52" spans="1:15" ht="12" customHeight="1" x14ac:dyDescent="0.3">
      <c r="A52" s="1" t="s">
        <v>97</v>
      </c>
      <c r="B52" s="19">
        <v>36</v>
      </c>
      <c r="C52" s="20">
        <f t="shared" ref="C52:C56" si="16">B52*2.55</f>
        <v>91.8</v>
      </c>
      <c r="D52" s="20"/>
      <c r="E52" s="69">
        <v>16746</v>
      </c>
      <c r="F52" s="69">
        <v>17812</v>
      </c>
      <c r="G52" s="1" t="s">
        <v>71</v>
      </c>
      <c r="H52" s="74">
        <v>25567</v>
      </c>
      <c r="I52" s="39" t="s">
        <v>71</v>
      </c>
      <c r="J52" s="1"/>
      <c r="K52" s="1"/>
      <c r="L52" s="74">
        <v>29278</v>
      </c>
      <c r="M52" s="39" t="s">
        <v>71</v>
      </c>
      <c r="N52" s="1"/>
      <c r="O52" s="66"/>
    </row>
    <row r="53" spans="1:15" ht="12" customHeight="1" x14ac:dyDescent="0.3">
      <c r="A53" s="1" t="s">
        <v>93</v>
      </c>
      <c r="B53" s="19">
        <v>10</v>
      </c>
      <c r="C53" s="20">
        <f t="shared" si="16"/>
        <v>25.5</v>
      </c>
      <c r="D53" s="20"/>
      <c r="E53" s="69">
        <v>17455</v>
      </c>
      <c r="F53" s="69">
        <v>18571</v>
      </c>
      <c r="G53" s="1" t="s">
        <v>71</v>
      </c>
      <c r="H53" s="69">
        <v>26195</v>
      </c>
      <c r="I53" s="1" t="s">
        <v>71</v>
      </c>
      <c r="J53" s="1" t="s">
        <v>74</v>
      </c>
      <c r="K53" s="1" t="s">
        <v>74</v>
      </c>
      <c r="L53" s="69">
        <v>30656</v>
      </c>
      <c r="M53" s="1" t="s">
        <v>71</v>
      </c>
      <c r="N53" s="1"/>
      <c r="O53" s="66"/>
    </row>
    <row r="54" spans="1:15" ht="12" customHeight="1" x14ac:dyDescent="0.3">
      <c r="A54" s="1" t="s">
        <v>94</v>
      </c>
      <c r="B54" s="19">
        <v>11</v>
      </c>
      <c r="C54" s="20">
        <f t="shared" si="16"/>
        <v>28.049999999999997</v>
      </c>
      <c r="D54" s="20"/>
      <c r="E54" s="65" t="s">
        <v>66</v>
      </c>
      <c r="F54" s="1" t="s">
        <v>68</v>
      </c>
      <c r="H54" s="1" t="s">
        <v>65</v>
      </c>
      <c r="I54" s="1" t="s">
        <v>66</v>
      </c>
      <c r="J54" s="1" t="s">
        <v>65</v>
      </c>
      <c r="K54" s="1" t="s">
        <v>66</v>
      </c>
      <c r="L54" s="1" t="s">
        <v>67</v>
      </c>
      <c r="M54" s="1"/>
      <c r="N54" s="1"/>
      <c r="O54" s="66"/>
    </row>
    <row r="55" spans="1:15" ht="12" customHeight="1" x14ac:dyDescent="0.3">
      <c r="A55" s="1" t="s">
        <v>95</v>
      </c>
      <c r="B55" s="19">
        <v>14</v>
      </c>
      <c r="C55" s="20">
        <f t="shared" si="16"/>
        <v>35.699999999999996</v>
      </c>
      <c r="D55" s="20"/>
      <c r="E55" s="1">
        <v>27</v>
      </c>
      <c r="F55" s="1">
        <v>4</v>
      </c>
      <c r="G55" s="64" t="s">
        <v>20</v>
      </c>
      <c r="H55" s="69">
        <v>1074005</v>
      </c>
      <c r="I55" s="69">
        <v>545569</v>
      </c>
      <c r="J55" s="1">
        <v>41</v>
      </c>
      <c r="K55" s="1">
        <v>31</v>
      </c>
      <c r="L55" s="69">
        <v>24525</v>
      </c>
      <c r="M55" s="1">
        <v>0.8</v>
      </c>
      <c r="N55" s="1" t="s">
        <v>79</v>
      </c>
      <c r="O55" s="66"/>
    </row>
    <row r="56" spans="1:15" ht="12" customHeight="1" x14ac:dyDescent="0.3">
      <c r="A56" s="1" t="s">
        <v>80</v>
      </c>
      <c r="B56" s="19">
        <v>18</v>
      </c>
      <c r="C56" s="20">
        <f t="shared" si="16"/>
        <v>45.9</v>
      </c>
      <c r="D56" s="20"/>
      <c r="E56" s="70">
        <v>36</v>
      </c>
      <c r="F56" s="70">
        <v>6</v>
      </c>
      <c r="G56" s="70" t="s">
        <v>21</v>
      </c>
      <c r="H56" s="74">
        <v>1355033</v>
      </c>
      <c r="I56" s="74">
        <f>602856+106872</f>
        <v>709728</v>
      </c>
      <c r="J56" s="70">
        <v>53</v>
      </c>
      <c r="K56" s="70">
        <v>42</v>
      </c>
      <c r="L56" s="74">
        <v>31708</v>
      </c>
      <c r="M56" s="76">
        <f>L56/L52</f>
        <v>1.0829974725049525</v>
      </c>
      <c r="N56" s="39" t="s">
        <v>70</v>
      </c>
      <c r="O56" s="66"/>
    </row>
    <row r="57" spans="1:15" ht="12" customHeight="1" x14ac:dyDescent="0.3">
      <c r="A57" s="1" t="s">
        <v>104</v>
      </c>
      <c r="B57" s="19">
        <v>380</v>
      </c>
      <c r="C57" s="20"/>
      <c r="D57" s="20">
        <f>B57*J30</f>
        <v>950</v>
      </c>
      <c r="E57" s="1">
        <v>42</v>
      </c>
      <c r="F57" s="1">
        <v>7</v>
      </c>
      <c r="G57" s="64" t="s">
        <v>22</v>
      </c>
      <c r="H57" s="69">
        <v>1597910</v>
      </c>
      <c r="I57" s="69">
        <v>863107</v>
      </c>
      <c r="J57" s="1">
        <v>61</v>
      </c>
      <c r="K57" s="1">
        <v>49</v>
      </c>
      <c r="L57" s="69">
        <v>36787</v>
      </c>
      <c r="M57" s="1">
        <v>1.2</v>
      </c>
      <c r="N57" s="75" t="s">
        <v>121</v>
      </c>
      <c r="O57" s="66"/>
    </row>
    <row r="58" spans="1:15" ht="12" customHeight="1" thickBot="1" x14ac:dyDescent="0.35">
      <c r="A58" s="1" t="s">
        <v>81</v>
      </c>
      <c r="B58" s="19">
        <v>200</v>
      </c>
      <c r="C58" s="20"/>
      <c r="D58" s="20">
        <f>B58*J27</f>
        <v>509</v>
      </c>
      <c r="E58" s="1">
        <v>64</v>
      </c>
      <c r="F58" s="1">
        <v>10</v>
      </c>
      <c r="G58" s="64" t="s">
        <v>72</v>
      </c>
      <c r="H58" s="68">
        <v>3841000</v>
      </c>
      <c r="I58" s="69">
        <v>1302830</v>
      </c>
      <c r="J58" s="171">
        <f>K58*1.25</f>
        <v>92.5</v>
      </c>
      <c r="K58" s="1">
        <f>E58+F58</f>
        <v>74</v>
      </c>
      <c r="L58" s="69">
        <v>55181</v>
      </c>
      <c r="M58" s="1">
        <v>1.8</v>
      </c>
      <c r="N58" s="1"/>
      <c r="O58" s="66"/>
    </row>
    <row r="59" spans="1:15" ht="12" customHeight="1" thickBot="1" x14ac:dyDescent="0.35">
      <c r="A59" s="1" t="s">
        <v>22</v>
      </c>
      <c r="B59" s="19">
        <v>200</v>
      </c>
      <c r="C59" s="20"/>
      <c r="D59" s="20">
        <f>B59*J28</f>
        <v>630</v>
      </c>
      <c r="E59" s="36">
        <f>SUM(E55:E58)</f>
        <v>169</v>
      </c>
      <c r="F59" s="166">
        <f>SUM(F55:F58)</f>
        <v>27</v>
      </c>
      <c r="G59" s="166" t="s">
        <v>14</v>
      </c>
      <c r="H59" s="167">
        <f>SUM(H55:H58)</f>
        <v>7867948</v>
      </c>
      <c r="I59" s="167">
        <f>SUM(I55:I58)</f>
        <v>3421234</v>
      </c>
      <c r="J59" s="173">
        <f>SUM(J55:J58)</f>
        <v>247.5</v>
      </c>
      <c r="K59" s="166">
        <f>SUM(K55:K58)</f>
        <v>196</v>
      </c>
      <c r="L59" s="167">
        <f>SUM(L55:L58)</f>
        <v>148201</v>
      </c>
      <c r="M59" s="168"/>
      <c r="N59" s="168">
        <f>126+200+150+342</f>
        <v>818</v>
      </c>
      <c r="O59" s="169" t="s">
        <v>19</v>
      </c>
    </row>
    <row r="60" spans="1:15" ht="12" customHeight="1" thickBot="1" x14ac:dyDescent="0.35">
      <c r="A60" s="1" t="s">
        <v>20</v>
      </c>
      <c r="B60" s="50">
        <v>200</v>
      </c>
      <c r="C60" s="59"/>
      <c r="D60" s="59">
        <f>B60*J25</f>
        <v>542</v>
      </c>
      <c r="K60" s="2" t="s">
        <v>129</v>
      </c>
    </row>
    <row r="61" spans="1:15" ht="12" customHeight="1" x14ac:dyDescent="0.3">
      <c r="A61" s="1" t="s">
        <v>102</v>
      </c>
      <c r="B61" s="65"/>
      <c r="C61" s="7">
        <f>D12</f>
        <v>8123.15</v>
      </c>
      <c r="D61" s="66"/>
      <c r="I61" s="63"/>
      <c r="K61" s="170">
        <f>J55/K55</f>
        <v>1.3225806451612903</v>
      </c>
      <c r="M61" s="2" t="s">
        <v>132</v>
      </c>
      <c r="N61" s="170">
        <f>(J59+K59)/N59</f>
        <v>0.54217603911980439</v>
      </c>
      <c r="O61" s="2" t="s">
        <v>131</v>
      </c>
    </row>
    <row r="62" spans="1:15" ht="12" customHeight="1" thickBot="1" x14ac:dyDescent="0.35">
      <c r="A62" s="1" t="s">
        <v>14</v>
      </c>
      <c r="B62" s="67"/>
      <c r="C62" s="143">
        <f>SUM(C51:C57)+SUM(D57:D60)+C61</f>
        <v>11052.5</v>
      </c>
      <c r="D62" s="13"/>
      <c r="E62" s="1" t="s">
        <v>126</v>
      </c>
      <c r="H62" s="16">
        <f>(J56+K56)/200</f>
        <v>0.47499999999999998</v>
      </c>
      <c r="I62" s="2"/>
      <c r="K62" s="170">
        <f>J56/K56</f>
        <v>1.2619047619047619</v>
      </c>
    </row>
    <row r="63" spans="1:15" ht="12" customHeight="1" x14ac:dyDescent="0.3">
      <c r="E63" s="1" t="s">
        <v>127</v>
      </c>
      <c r="H63" s="16">
        <f>(J57+K57)/150</f>
        <v>0.73333333333333328</v>
      </c>
      <c r="I63" s="2"/>
      <c r="K63" s="170">
        <f>J57/K57</f>
        <v>1.2448979591836735</v>
      </c>
    </row>
    <row r="64" spans="1:15" ht="12" customHeight="1" x14ac:dyDescent="0.3">
      <c r="E64" s="1" t="s">
        <v>128</v>
      </c>
      <c r="H64" s="16">
        <f>(J58+K58)/342</f>
        <v>0.48684210526315791</v>
      </c>
      <c r="I64" s="2"/>
      <c r="K64" s="172">
        <f>J58/K58</f>
        <v>1.25</v>
      </c>
      <c r="L64" s="2" t="s">
        <v>130</v>
      </c>
    </row>
  </sheetData>
  <hyperlinks>
    <hyperlink ref="E8" r:id="rId1" display="http://www.whitehorsedc.gov.uk/java/support/Main.jsp?MODULE=ApplicationDetails&amp;REF=P06/V1939/O"/>
    <hyperlink ref="J40" r:id="rId2"/>
    <hyperlink ref="H40" r:id="rId3"/>
    <hyperlink ref="E16" r:id="rId4" display="http://www.whitehorsedc.gov.uk/java/support/Main.jsp?MODULE=ApplicationDetails&amp;REF=P13/V0344/FUL"/>
  </hyperlinks>
  <pageMargins left="0.70866141732283472" right="0.70866141732283472" top="0.74803149606299213" bottom="0.74803149606299213" header="0.31496062992125984" footer="0.31496062992125984"/>
  <pageSetup paperSize="9" scale="56"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</dc:creator>
  <cp:lastModifiedBy>Hilary Sherman</cp:lastModifiedBy>
  <cp:lastPrinted>2014-03-11T20:34:43Z</cp:lastPrinted>
  <dcterms:created xsi:type="dcterms:W3CDTF">2013-08-09T13:55:09Z</dcterms:created>
  <dcterms:modified xsi:type="dcterms:W3CDTF">2015-04-30T10:59:58Z</dcterms:modified>
</cp:coreProperties>
</file>